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 tabRatio="500" firstSheet="3" activeTab="8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Motorista" sheetId="15" r:id="rId6"/>
    <sheet name="Uniformes" sheetId="12" r:id="rId7"/>
    <sheet name="Materiais" sheetId="14" r:id="rId8"/>
    <sheet name="RESUMO" sheetId="13" r:id="rId9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Portaria!$A$1:$D$150</definedName>
    <definedName name="_xlnm.Print_Area" localSheetId="6">Uniformes!$A$1:$H$56</definedName>
    <definedName name="_xlnm.Print_Area" localSheetId="7">Materiais!$A$1:$G$9</definedName>
    <definedName name="_xlnm.Print_Area" localSheetId="8">RESUMO!$A$1:$G$8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<sst xmlns="http://schemas.openxmlformats.org/spreadsheetml/2006/main" count="1517" uniqueCount="312">
  <si>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</si>
  <si>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</si>
  <si>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</si>
  <si>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</si>
  <si>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</si>
  <si>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</si>
  <si>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</si>
  <si>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</si>
  <si>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</si>
  <si>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</si>
  <si>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</si>
  <si>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</si>
  <si>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</si>
  <si>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</si>
  <si>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</si>
  <si>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</si>
  <si>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</si>
  <si>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</si>
  <si>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</si>
  <si>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</si>
  <si>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</si>
  <si>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</si>
  <si>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</si>
  <si>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</si>
  <si>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</si>
  <si>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</si>
  <si>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</si>
  <si>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</si>
  <si>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</si>
  <si>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</si>
  <si>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</si>
  <si>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</si>
  <si>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</si>
  <si>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</si>
  <si>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</si>
  <si>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</si>
  <si>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</si>
  <si>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</si>
  <si>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</si>
  <si>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</si>
  <si>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</si>
  <si>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</si>
  <si>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</si>
  <si>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</si>
  <si>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</si>
  <si>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</si>
  <si>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</si>
  <si>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</si>
  <si>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</si>
  <si>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</si>
  <si>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</si>
  <si>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</si>
  <si>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</si>
  <si>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</si>
  <si>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</si>
  <si>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</si>
  <si>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</si>
  <si>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</si>
  <si>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</si>
  <si>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</si>
  <si>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</si>
  <si>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</si>
  <si>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</si>
  <si>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</si>
  <si>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</si>
  <si>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</si>
  <si>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</si>
  <si>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</si>
  <si>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</si>
  <si>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</si>
  <si>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</si>
  <si>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</si>
  <si>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</si>
  <si>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</si>
  <si>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</si>
  <si>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</si>
  <si>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</si>
  <si>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</si>
  <si>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</si>
  <si>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</si>
  <si>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</si>
  <si>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</si>
  <si>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</si>
  <si>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</si>
  <si>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</si>
  <si>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</si>
  <si>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</si>
  <si>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</si>
  <si>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</si>
  <si>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</si>
  <si>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</si>
  <si>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</si>
  <si>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</si>
  <si>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</si>
  <si>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</si>
  <si>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</si>
  <si>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</si>
  <si>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</si>
  <si>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</si>
  <si>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</si>
  <si>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</si>
  <si>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</si>
  <si>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</si>
  <si>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</si>
  <si>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</si>
  <si>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</si>
  <si>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</si>
  <si>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</si>
  <si>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</si>
  <si>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</si>
  <si>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</si>
  <si>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</si>
  <si>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</si>
  <si>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</si>
  <si>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</si>
  <si>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</si>
  <si>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</si>
  <si>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</si>
  <si>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</si>
  <si>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</si>
  <si>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</si>
  <si>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</si>
  <si>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</si>
  <si>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</si>
  <si>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</si>
  <si>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</si>
  <si>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</si>
  <si>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</si>
  <si>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</si>
  <si>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</si>
  <si>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</si>
  <si>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</si>
  <si>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</si>
  <si>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</si>
  <si>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</si>
  <si>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</si>
  <si>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</si>
  <si>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</si>
  <si>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</si>
  <si>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</si>
  <si>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</si>
  <si>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</si>
  <si>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</si>
  <si>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</si>
  <si>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</si>
  <si>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</si>
  <si>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</si>
  <si>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</si>
  <si>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</si>
  <si>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</si>
  <si>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</si>
  <si>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</si>
  <si>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</si>
  <si>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</si>
  <si>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</si>
  <si>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</si>
  <si>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</si>
  <si>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</si>
  <si>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</si>
  <si>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</si>
  <si>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</si>
  <si>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</si>
  <si>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</si>
  <si>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</si>
  <si>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</si>
  <si>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</si>
  <si>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</si>
  <si>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</si>
  <si>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</si>
  <si>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</si>
  <si>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</si>
  <si>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</si>
  <si>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</si>
  <si>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</si>
  <si>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</si>
  <si>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</si>
  <si>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</si>
  <si>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</si>
  <si>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23381.002787.2024-98</t>
    </r>
  </si>
  <si>
    <t>Licitação n°</t>
  </si>
  <si>
    <t>90010/2024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</si>
  <si>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</si>
  <si>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</si>
  <si>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</si>
  <si>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</si>
  <si>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</si>
  <si>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</si>
  <si>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PB000144/2024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</si>
  <si>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</si>
  <si>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</si>
  <si>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</si>
  <si>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</si>
  <si>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</si>
  <si>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</si>
  <si>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</si>
  <si>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</si>
  <si>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</si>
  <si>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</si>
  <si>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</si>
  <si>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</si>
  <si>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</si>
  <si>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</si>
  <si>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</si>
  <si>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</si>
  <si>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</si>
  <si>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</si>
  <si>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</si>
  <si>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</si>
  <si>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</si>
  <si>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</si>
  <si>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</si>
  <si>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</si>
  <si>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</si>
  <si>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</si>
  <si>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</si>
  <si>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</si>
  <si>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</si>
  <si>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</si>
  <si>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</si>
  <si>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</si>
  <si>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</si>
  <si>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</si>
  <si>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</si>
  <si>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</si>
  <si>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</si>
  <si>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</si>
  <si>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</si>
  <si>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</si>
  <si>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</si>
  <si>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</si>
  <si>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</si>
  <si>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</si>
  <si>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</si>
  <si>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</si>
  <si>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</si>
  <si>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</si>
  <si>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</si>
  <si>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</si>
  <si>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</si>
  <si>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</si>
  <si>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</si>
  <si>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</si>
  <si>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Motorista</t>
  </si>
  <si>
    <t>GRUPO XI</t>
  </si>
  <si>
    <t>DIÁRIAS</t>
  </si>
  <si>
    <t>QUANTIDADE (ANUAL)</t>
  </si>
  <si>
    <t>VALOR UNITÁRIO</t>
  </si>
  <si>
    <t>VALOR TOTAL</t>
  </si>
  <si>
    <t>Diárias Fora da Grande João Pessoa - Sem Pernoite</t>
  </si>
  <si>
    <t>Diárias Fora da Grande João Pessoa - Com Pernoite</t>
  </si>
  <si>
    <t>ESTIMATIVA ANUAL</t>
  </si>
  <si>
    <t>ESTIMATIVA MENSAL</t>
  </si>
  <si>
    <t>* Valores estabelecidos em conformidade com as disposição da CCT n.° PB 000144/2024</t>
  </si>
  <si>
    <t>UNIFORMES</t>
  </si>
  <si>
    <t>RECEPCIONISTA SECRETÁRIO (A)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</si>
  <si>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</si>
  <si>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</si>
  <si>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</si>
  <si>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</si>
  <si>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</si>
  <si>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</si>
  <si>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</si>
  <si>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</si>
  <si>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</si>
  <si>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 - Material: 67% Algodão / 33% Poliéster , Modelo: Social Feminino, Quantidade Bolsos: 4 , Tipo Bolso: 2 Frontais Faca E 2 Traseiros Chapados , Tamanho: Variado, Aplicação: Uniforme.</t>
  </si>
  <si>
    <t>Unidade</t>
  </si>
  <si>
    <t>SAIA</t>
  </si>
  <si>
    <t>SAIA CLÁSSICA SOCIAL - Com Fechamento Posterior Por Zíper E Botão Interno No Centro Das Costas. 95% Poliéster 5% Elastano. Tipo: Alfaiataria. Modelagem Lápis, Possui Pences Nas Costas, Ajustando-Se À Silhueta. Cor Azul Escura Com Pinça Na Perna. Tamanho: P, PP, G, GG.</t>
  </si>
  <si>
    <t>BLAZER</t>
  </si>
  <si>
    <t>BLAZER SOCIAL - Blazer estilo social em alfaiataria, com gola xale, mangas longas, recortes frontais e posteriores para melhor caimento, shape reto, barra invisível, nos tamanhos P ao G a definir.</t>
  </si>
  <si>
    <t>CAMISA</t>
  </si>
  <si>
    <t>CAMISA SOCIAL - Camisa social, na cor branca, de mangas  3/4, com detalhes na gola e punho, na cor predominante da logomarca da Contrada, Corte: Feminino; Tecido com o mínimo de 50% de fibras naturais, contendo a identificação da Contratada.</t>
  </si>
  <si>
    <t>CAMISA POLO - 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</si>
  <si>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CALÇADO</t>
  </si>
  <si>
    <t>SAPATO SOCIAL -  Sapato Tipo: Social, Material: Couro, Cor: Preta, Características Adicionais: Sem Cadarço, Material Sola: Sola Em PVC Antiderrapante, Material Palmilha: Palmilha Em Couro, Material Forro: Lateral Em Couro E Gáspea Em Tecido Algodão; Tamanho Variado, Aplicação: Uniforme</t>
  </si>
  <si>
    <t>Par</t>
  </si>
  <si>
    <t>MEIA</t>
  </si>
  <si>
    <t>MEIA SOCIAL - modelo sapatilha (invisível), com corte baixo de silicone nas costas (calcanhar), Composição:  90% microfibra poliamida 10% elastano, Feminino, Cor: Preta, Tamanho: Único</t>
  </si>
  <si>
    <t>CRACHÁ</t>
  </si>
  <si>
    <t>CRACHÁ FUNCIONAL - Confeccionado em PVC, Dimensões: 8,5x5,5cm, 4x0 cores, Com Case, Garra de Aço, Impressão em Dados Variados com Captação de Fotografia Digital.</t>
  </si>
  <si>
    <t>COPEIRO (A)</t>
  </si>
  <si>
    <t>PORTEIRO (A)</t>
  </si>
  <si>
    <t>CALÇA SOCIAL - Material: 67% Algodão / 33% Poliéster , Modelo: Social Masculino, Quantidade Bolsos: 4 , Tipo Bolso: 2 Frontais Faca e 2 Traseiros Chapados, Tamanho: Variado, Aplicação: Uniforme.</t>
  </si>
  <si>
    <t>CAMISA SOCIAL - Camisa social, na cor branca, de mangas  longas, com detalhes na gola e punho, na cor predominante da logomarca da Contrada, Corte: Masculino; Tecido com o mínimo de 50% de fibras naturais, contendo a identificação da Contratada.</t>
  </si>
  <si>
    <t>CAMISA POLO - 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</si>
  <si>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JAQUETA</t>
  </si>
  <si>
    <t>JAQUETA - Jaqueta Masculina Material: 100% Poliéster, Modelo: Zíper, Acabamento: Com Forro, Tipo Bolso: 2 Bolsos Externos Lateral, Tamanho: Sob Medida, Características Adicionais: Elástico Nos Punhos E Cintura, Tipo Manga: Comprida , Tipo Gola: Social, Aplicação: Uniforme.</t>
  </si>
  <si>
    <t>CINTO</t>
  </si>
  <si>
    <t>CINTO EM COURO - Cinto Vestuário Material: Couro , Tamanho: Sob Medida, Características Adicionais: Dupla Face, Regulável, Tipo Fivela Prata , Modelo: Social, Largura: 3,5 C, Aplicação: Uniforme.</t>
  </si>
  <si>
    <t>MEIA SOCIAL -  Vestuário Masculino - Material: 60% Algodão, 39% Poliamida E 1% Elástico, Tipo: Social, Cor: Preta, Tamanho: Único, Aplicação: Adulto.</t>
  </si>
  <si>
    <t>CAPA PARA CHUVA</t>
  </si>
  <si>
    <t>CAPA CHUVA - Capa Chuva Material: PVC , Tipo Uso: Profissional, Cor: Amarela, Características Adicionais: Capuz, Botões Plástico Pressão, Com Solda Eletrônica, Tamanho Referência: Sob Medida.</t>
  </si>
  <si>
    <t>MOTORISTA</t>
  </si>
  <si>
    <t>MATERIAIS</t>
  </si>
  <si>
    <t>Peça</t>
  </si>
  <si>
    <t>VALOR 
MÉDIO
UNITÁRIO
(R$)</t>
  </si>
  <si>
    <t>LIVRO TERMO DE OCORRENCIAS</t>
  </si>
  <si>
    <t>LIVRO TERMO DE OCORRENCIAS -  Livro Pautado, Numerado Com Termo De Abertura e Encerramento, Capa Dura de Papelão Revestida de Papel Off Set, Papel Interno Off Set 63g m², Formato: 218 x 319 mm, Com 50 Folhas Numeradas.</t>
  </si>
  <si>
    <t>CANETA ESFEROGRÁFICA</t>
  </si>
  <si>
    <t>CANETA ESFEROGRÁFICA - Material Plástico, Ponteira Esfera de Tugstênio, Tipo Escrita Média, Cor Tinta AZUL, Características Adicionais: Atóxica, Corpo Cilindrico.</t>
  </si>
  <si>
    <t>PRANCHETA PORTÁTIL</t>
  </si>
  <si>
    <t>PRANCHETA PORTÁTIL - Material: Acrílico, Comprimento: 340 MM, Largura: 260 MM, Cor: Incolor, Características Adicionais: Com Pegador Metálico.</t>
  </si>
  <si>
    <t>PLANILHA RESUMO</t>
  </si>
  <si>
    <t>Quantidade</t>
  </si>
  <si>
    <t>VIGÊNCIA (Mês)</t>
  </si>
  <si>
    <t>VALOR UNITÁRIO MÁXIMO ACEITÁVEL</t>
  </si>
  <si>
    <t>VALOR 
TOTAL
MÁXIMO
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</si>
  <si>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</si>
  <si>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</si>
  <si>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</si>
  <si>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</si>
  <si>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- CBO: 7823-05</t>
    </r>
    <r>
      <rPr>
        <sz val="11"/>
        <color theme="1"/>
        <rFont val="Calibri"/>
        <charset val="134"/>
        <scheme val="minor"/>
      </rPr>
      <t>, em jornada semanal de 44 (quarenta e quatro) horas.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</si>
</sst>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176" formatCode="_-&quot;R$&quot;* #,##0_-;\-&quot;R$&quot;* #,##0_-;_-&quot;R$&quot;* &quot;-&quot;_-;_-@_-"/>
    <numFmt numFmtId="177" formatCode="_-&quot;R$ &quot;* #,##0.00_-;&quot;-R$ &quot;* #,##0.00_-;_-&quot;R$ &quot;* \-??_-;_-@_-"/>
    <numFmt numFmtId="178" formatCode="_-* #,##0_-;\-* #,##0_-;_-* &quot;-&quot;_-;_-@_-"/>
    <numFmt numFmtId="179" formatCode="_-* #,##0.00_-;\-* #,##0.00_-;_-* &quot;-&quot;??_-;_-@_-"/>
    <numFmt numFmtId="180" formatCode="&quot;R$&quot;\ #,##0.00_);[Red]\(&quot;R$&quot;\ #,##0.00\)"/>
    <numFmt numFmtId="181" formatCode="&quot;R$&quot;\ #,##0.00"/>
    <numFmt numFmtId="182" formatCode="&quot;R$&quot;#,##0.00_);[Red]\(&quot;R$&quot;#,##0.00\)"/>
    <numFmt numFmtId="183" formatCode="&quot;R$ &quot;#,##0.00"/>
    <numFmt numFmtId="184" formatCode="&quot;R$&quot;#,##0.00_);[Red]&quot;(R$&quot;#,##0.00\)"/>
    <numFmt numFmtId="185" formatCode="0.00_ "/>
    <numFmt numFmtId="186" formatCode="0.0000_ "/>
    <numFmt numFmtId="187" formatCode="&quot;R$&quot;#,##0.00"/>
  </numFmts>
  <fonts count="45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name val="Calibri"/>
      <charset val="134"/>
    </font>
    <font>
      <sz val="11"/>
      <name val="Calibri"/>
      <charset val="134"/>
      <scheme val="minor"/>
    </font>
    <font>
      <b/>
      <sz val="11"/>
      <color rgb="FF000000"/>
      <name val="Calibri"/>
      <charset val="134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b/>
      <i/>
      <sz val="11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F4B183"/>
      <name val="Calibri"/>
      <charset val="134"/>
    </font>
    <font>
      <sz val="10"/>
      <color rgb="FF000000"/>
      <name val="Calibri"/>
      <charset val="134"/>
    </font>
    <font>
      <sz val="9"/>
      <name val="Tahoma"/>
      <charset val="134"/>
    </font>
  </fonts>
  <fills count="4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theme="5" tint="0.4"/>
        <bgColor rgb="FFA9D18E"/>
      </patternFill>
    </fill>
    <fill>
      <patternFill patternType="solid">
        <fgColor theme="5" tint="0.4"/>
        <bgColor rgb="FFF2F2F2"/>
      </patternFill>
    </fill>
    <fill>
      <patternFill patternType="solid">
        <fgColor theme="5" tint="0.4"/>
        <bgColor rgb="FFFF99CC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1" fillId="0" borderId="0" applyBorder="0" applyAlignment="0" applyProtection="0"/>
    <xf numFmtId="177" fontId="0" fillId="0" borderId="0" applyBorder="0" applyProtection="0"/>
    <xf numFmtId="9" fontId="0" fillId="0" borderId="0" applyBorder="0" applyProtection="0"/>
    <xf numFmtId="178" fontId="21" fillId="0" borderId="0" applyBorder="0" applyAlignment="0" applyProtection="0"/>
    <xf numFmtId="179" fontId="21" fillId="0" borderId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8" borderId="20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9" borderId="23" applyNumberFormat="0" applyAlignment="0" applyProtection="0">
      <alignment vertical="center"/>
    </xf>
    <xf numFmtId="0" fontId="32" fillId="20" borderId="24" applyNumberFormat="0" applyAlignment="0" applyProtection="0">
      <alignment vertical="center"/>
    </xf>
    <xf numFmtId="0" fontId="33" fillId="20" borderId="23" applyNumberFormat="0" applyAlignment="0" applyProtection="0">
      <alignment vertical="center"/>
    </xf>
    <xf numFmtId="0" fontId="34" fillId="21" borderId="25" applyNumberFormat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41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</cellStyleXfs>
  <cellXfs count="165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center" wrapText="1"/>
    </xf>
    <xf numFmtId="177" fontId="5" fillId="5" borderId="4" xfId="2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181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81" fontId="4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wrapText="1"/>
    </xf>
    <xf numFmtId="182" fontId="3" fillId="5" borderId="4" xfId="0" applyNumberFormat="1" applyFont="1" applyFill="1" applyBorder="1" applyAlignment="1">
      <alignment horizontal="center" vertical="center" wrapText="1"/>
    </xf>
    <xf numFmtId="182" fontId="8" fillId="0" borderId="4" xfId="0" applyNumberFormat="1" applyFont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/>
    </xf>
    <xf numFmtId="182" fontId="11" fillId="8" borderId="4" xfId="0" applyNumberFormat="1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justify" vertical="center" wrapText="1"/>
    </xf>
    <xf numFmtId="0" fontId="13" fillId="9" borderId="5" xfId="0" applyFont="1" applyFill="1" applyBorder="1" applyAlignment="1">
      <alignment horizontal="center"/>
    </xf>
    <xf numFmtId="0" fontId="5" fillId="10" borderId="6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9" borderId="7" xfId="0" applyFont="1" applyFill="1" applyBorder="1" applyAlignment="1">
      <alignment horizontal="center"/>
    </xf>
    <xf numFmtId="0" fontId="0" fillId="10" borderId="8" xfId="0" applyFont="1" applyFill="1" applyBorder="1" applyAlignment="1">
      <alignment horizontal="center"/>
    </xf>
    <xf numFmtId="0" fontId="0" fillId="10" borderId="9" xfId="0" applyFont="1" applyFill="1" applyBorder="1"/>
    <xf numFmtId="0" fontId="0" fillId="12" borderId="9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0" fontId="0" fillId="13" borderId="11" xfId="0" applyFont="1" applyFill="1" applyBorder="1"/>
    <xf numFmtId="0" fontId="0" fillId="12" borderId="11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0" borderId="11" xfId="0" applyFont="1" applyFill="1" applyBorder="1"/>
    <xf numFmtId="0" fontId="14" fillId="9" borderId="5" xfId="0" applyFont="1" applyFill="1" applyBorder="1" applyAlignment="1">
      <alignment horizontal="center"/>
    </xf>
    <xf numFmtId="0" fontId="14" fillId="9" borderId="12" xfId="0" applyFont="1" applyFill="1" applyBorder="1" applyAlignment="1">
      <alignment horizontal="center" wrapText="1"/>
    </xf>
    <xf numFmtId="0" fontId="14" fillId="9" borderId="13" xfId="0" applyFont="1" applyFill="1" applyBorder="1" applyAlignment="1">
      <alignment horizontal="center"/>
    </xf>
    <xf numFmtId="0" fontId="0" fillId="10" borderId="11" xfId="0" applyFont="1" applyFill="1" applyBorder="1" applyAlignment="1">
      <alignment horizontal="center"/>
    </xf>
    <xf numFmtId="0" fontId="0" fillId="12" borderId="14" xfId="0" applyFont="1" applyFill="1" applyBorder="1" applyAlignment="1">
      <alignment horizontal="center"/>
    </xf>
    <xf numFmtId="0" fontId="0" fillId="13" borderId="11" xfId="0" applyFont="1" applyFill="1" applyBorder="1" applyAlignment="1">
      <alignment horizontal="center"/>
    </xf>
    <xf numFmtId="183" fontId="0" fillId="12" borderId="14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3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3" fontId="0" fillId="0" borderId="0" xfId="0" applyNumberFormat="1" applyAlignment="1">
      <alignment horizontal="center"/>
    </xf>
    <xf numFmtId="0" fontId="14" fillId="9" borderId="0" xfId="0" applyFont="1" applyFill="1" applyBorder="1" applyAlignment="1">
      <alignment horizontal="center"/>
    </xf>
    <xf numFmtId="10" fontId="0" fillId="0" borderId="0" xfId="3" applyNumberFormat="1" applyFont="1" applyBorder="1" applyAlignment="1" applyProtection="1">
      <alignment horizontal="center"/>
    </xf>
    <xf numFmtId="0" fontId="0" fillId="0" borderId="0" xfId="0" applyAlignment="1"/>
    <xf numFmtId="0" fontId="14" fillId="9" borderId="0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184" fontId="0" fillId="12" borderId="15" xfId="0" applyNumberFormat="1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center" vertical="center"/>
    </xf>
    <xf numFmtId="184" fontId="5" fillId="12" borderId="15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3" applyNumberFormat="1" applyFont="1" applyFill="1" applyBorder="1" applyAlignment="1" applyProtection="1">
      <alignment horizontal="center" vertical="center"/>
    </xf>
    <xf numFmtId="183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2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12" borderId="0" xfId="3" applyNumberFormat="1" applyFont="1" applyFill="1" applyBorder="1" applyAlignment="1" applyProtection="1">
      <alignment horizontal="center"/>
    </xf>
    <xf numFmtId="10" fontId="0" fillId="0" borderId="0" xfId="3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5" borderId="0" xfId="3" applyNumberFormat="1" applyFont="1" applyFill="1" applyBorder="1" applyAlignment="1" applyProtection="1">
      <alignment horizontal="center" vertical="center"/>
    </xf>
    <xf numFmtId="183" fontId="0" fillId="5" borderId="0" xfId="0" applyNumberFormat="1" applyFill="1" applyAlignment="1">
      <alignment horizontal="center"/>
    </xf>
    <xf numFmtId="183" fontId="0" fillId="5" borderId="0" xfId="0" applyNumberFormat="1" applyFill="1" applyAlignment="1">
      <alignment horizontal="center" vertical="center"/>
    </xf>
    <xf numFmtId="0" fontId="14" fillId="9" borderId="0" xfId="0" applyFont="1" applyFill="1" applyBorder="1" applyAlignment="1">
      <alignment horizontal="center" wrapText="1"/>
    </xf>
    <xf numFmtId="185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8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/>
    </xf>
    <xf numFmtId="183" fontId="15" fillId="0" borderId="0" xfId="0" applyNumberFormat="1" applyFont="1" applyAlignment="1">
      <alignment horizontal="center"/>
    </xf>
    <xf numFmtId="183" fontId="16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 wrapText="1"/>
    </xf>
    <xf numFmtId="0" fontId="0" fillId="10" borderId="9" xfId="0" applyFont="1" applyFill="1" applyBorder="1" applyAlignment="1">
      <alignment horizontal="center" vertical="center" wrapText="1"/>
    </xf>
    <xf numFmtId="0" fontId="0" fillId="10" borderId="9" xfId="0" applyFont="1" applyFill="1" applyBorder="1" applyAlignment="1">
      <alignment horizontal="center" vertical="center"/>
    </xf>
    <xf numFmtId="182" fontId="0" fillId="14" borderId="9" xfId="0" applyNumberFormat="1" applyFont="1" applyFill="1" applyBorder="1" applyAlignment="1">
      <alignment horizontal="center" vertical="center"/>
    </xf>
    <xf numFmtId="0" fontId="0" fillId="13" borderId="16" xfId="0" applyFont="1" applyFill="1" applyBorder="1" applyAlignment="1">
      <alignment horizontal="center" vertical="center" wrapText="1"/>
    </xf>
    <xf numFmtId="0" fontId="0" fillId="13" borderId="16" xfId="0" applyFont="1" applyFill="1" applyBorder="1" applyAlignment="1">
      <alignment horizontal="center" vertical="center"/>
    </xf>
    <xf numFmtId="182" fontId="0" fillId="15" borderId="15" xfId="0" applyNumberFormat="1" applyFont="1" applyFill="1" applyBorder="1" applyAlignment="1">
      <alignment horizontal="center" vertical="center"/>
    </xf>
    <xf numFmtId="183" fontId="8" fillId="16" borderId="0" xfId="0" applyNumberFormat="1" applyFont="1" applyFill="1" applyAlignment="1">
      <alignment horizontal="center"/>
    </xf>
    <xf numFmtId="0" fontId="17" fillId="10" borderId="17" xfId="0" applyFont="1" applyFill="1" applyBorder="1" applyAlignment="1">
      <alignment horizontal="center" vertical="center"/>
    </xf>
    <xf numFmtId="0" fontId="17" fillId="10" borderId="0" xfId="0" applyFont="1" applyFill="1" applyAlignment="1">
      <alignment horizontal="center" vertical="center"/>
    </xf>
    <xf numFmtId="182" fontId="17" fillId="10" borderId="17" xfId="0" applyNumberFormat="1" applyFont="1" applyFill="1" applyBorder="1" applyAlignment="1">
      <alignment horizontal="center" vertical="center"/>
    </xf>
    <xf numFmtId="183" fontId="8" fillId="12" borderId="0" xfId="0" applyNumberFormat="1" applyFont="1" applyFill="1" applyAlignment="1">
      <alignment horizontal="center"/>
    </xf>
    <xf numFmtId="183" fontId="8" fillId="0" borderId="0" xfId="0" applyNumberFormat="1" applyFont="1" applyAlignment="1">
      <alignment horizontal="center"/>
    </xf>
    <xf numFmtId="182" fontId="17" fillId="10" borderId="0" xfId="0" applyNumberFormat="1" applyFont="1" applyFill="1" applyAlignment="1">
      <alignment horizontal="center" vertical="center"/>
    </xf>
    <xf numFmtId="0" fontId="0" fillId="10" borderId="9" xfId="0" applyFont="1" applyFill="1" applyBorder="1" applyAlignment="1">
      <alignment horizontal="left" vertical="center"/>
    </xf>
    <xf numFmtId="0" fontId="0" fillId="12" borderId="0" xfId="3" applyNumberFormat="1" applyFont="1" applyFill="1" applyBorder="1" applyAlignment="1" applyProtection="1">
      <alignment horizontal="center" vertical="center"/>
    </xf>
    <xf numFmtId="0" fontId="0" fillId="13" borderId="15" xfId="0" applyFont="1" applyFill="1" applyBorder="1" applyAlignment="1">
      <alignment horizontal="left" vertical="center"/>
    </xf>
    <xf numFmtId="184" fontId="0" fillId="12" borderId="0" xfId="0" applyNumberFormat="1" applyFill="1" applyAlignment="1">
      <alignment horizontal="center"/>
    </xf>
    <xf numFmtId="186" fontId="0" fillId="12" borderId="0" xfId="0" applyNumberFormat="1" applyFill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9" borderId="0" xfId="0" applyFont="1" applyFill="1"/>
    <xf numFmtId="0" fontId="14" fillId="9" borderId="0" xfId="0" applyFont="1" applyFill="1" applyAlignment="1">
      <alignment horizontal="center" vertical="center"/>
    </xf>
    <xf numFmtId="183" fontId="14" fillId="9" borderId="0" xfId="0" applyNumberFormat="1" applyFont="1" applyFill="1" applyAlignment="1">
      <alignment horizontal="center"/>
    </xf>
    <xf numFmtId="0" fontId="19" fillId="0" borderId="0" xfId="0" applyFont="1"/>
    <xf numFmtId="180" fontId="0" fillId="0" borderId="0" xfId="0" applyNumberFormat="1" applyAlignment="1">
      <alignment horizontal="center" vertical="center"/>
    </xf>
    <xf numFmtId="10" fontId="8" fillId="16" borderId="0" xfId="3" applyNumberFormat="1" applyFont="1" applyFill="1" applyBorder="1" applyAlignment="1" applyProtection="1">
      <alignment horizontal="center"/>
    </xf>
    <xf numFmtId="180" fontId="8" fillId="5" borderId="0" xfId="0" applyNumberFormat="1" applyFont="1" applyFill="1" applyAlignment="1">
      <alignment horizontal="center" vertical="center"/>
    </xf>
    <xf numFmtId="10" fontId="8" fillId="12" borderId="0" xfId="3" applyNumberFormat="1" applyFont="1" applyFill="1" applyBorder="1" applyAlignment="1" applyProtection="1">
      <alignment horizontal="center"/>
    </xf>
    <xf numFmtId="0" fontId="18" fillId="9" borderId="0" xfId="0" applyFont="1" applyFill="1" applyAlignment="1">
      <alignment wrapText="1"/>
    </xf>
    <xf numFmtId="0" fontId="14" fillId="9" borderId="0" xfId="0" applyFont="1" applyFill="1" applyAlignment="1">
      <alignment horizontal="center" vertical="center" wrapText="1"/>
    </xf>
    <xf numFmtId="183" fontId="14" fillId="9" borderId="0" xfId="0" applyNumberFormat="1" applyFont="1" applyFill="1" applyAlignment="1">
      <alignment horizontal="center" wrapText="1"/>
    </xf>
    <xf numFmtId="180" fontId="0" fillId="12" borderId="0" xfId="0" applyNumberFormat="1" applyFill="1" applyAlignment="1">
      <alignment horizontal="center" vertical="center"/>
    </xf>
    <xf numFmtId="180" fontId="0" fillId="5" borderId="0" xfId="0" applyNumberFormat="1" applyFill="1" applyAlignment="1">
      <alignment horizontal="center" vertical="center"/>
    </xf>
    <xf numFmtId="183" fontId="15" fillId="0" borderId="0" xfId="0" applyNumberFormat="1" applyFont="1" applyAlignment="1">
      <alignment vertical="center" wrapText="1"/>
    </xf>
    <xf numFmtId="183" fontId="15" fillId="0" borderId="0" xfId="0" applyNumberFormat="1" applyFont="1" applyAlignment="1">
      <alignment horizontal="center" wrapText="1"/>
    </xf>
    <xf numFmtId="184" fontId="0" fillId="12" borderId="0" xfId="0" applyNumberFormat="1" applyFill="1"/>
    <xf numFmtId="183" fontId="8" fillId="12" borderId="0" xfId="0" applyNumberFormat="1" applyFont="1" applyFill="1" applyAlignment="1">
      <alignment horizontal="center" vertical="center"/>
    </xf>
    <xf numFmtId="182" fontId="8" fillId="12" borderId="0" xfId="0" applyNumberFormat="1" applyFont="1" applyFill="1" applyAlignment="1">
      <alignment horizontal="center" vertical="center"/>
    </xf>
    <xf numFmtId="0" fontId="5" fillId="0" borderId="18" xfId="0" applyFont="1" applyBorder="1" applyAlignment="1">
      <alignment horizontal="center"/>
    </xf>
    <xf numFmtId="177" fontId="0" fillId="12" borderId="0" xfId="2" applyFont="1" applyFill="1" applyBorder="1" applyAlignment="1" applyProtection="1">
      <alignment horizontal="center"/>
    </xf>
    <xf numFmtId="187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3" applyNumberFormat="1" applyFont="1" applyFill="1" applyBorder="1" applyAlignment="1" applyProtection="1"/>
    <xf numFmtId="10" fontId="0" fillId="0" borderId="0" xfId="3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18" fillId="9" borderId="0" xfId="0" applyNumberFormat="1" applyFont="1" applyFill="1" applyAlignment="1">
      <alignment horizontal="center"/>
    </xf>
    <xf numFmtId="0" fontId="5" fillId="17" borderId="19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left" vertical="center" wrapText="1"/>
    </xf>
    <xf numFmtId="0" fontId="0" fillId="17" borderId="0" xfId="0" applyFont="1" applyFill="1" applyBorder="1" applyAlignment="1">
      <alignment horizontal="left" wrapText="1"/>
    </xf>
    <xf numFmtId="0" fontId="5" fillId="17" borderId="0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237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fill>
        <patternFill patternType="solid">
          <bgColor rgb="FFFFFF00"/>
        </patternFill>
      </fill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font>
        <color rgb="FFFF0000"/>
      </font>
      <fill>
        <patternFill patternType="solid">
          <bgColor rgb="FFFFFF00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font>
        <color rgb="FFFF0000"/>
      </font>
      <fill>
        <patternFill patternType="solid">
          <bgColor rgb="FFFFFF00"/>
        </patternFill>
      </fill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horizontal="center" vertical="center"/>
    </dxf>
    <dxf>
      <numFmt numFmtId="182" formatCode="&quot;R$&quot;#,##0.00_);[Red]\(&quot;R$&quot;#,##0.00\)"/>
    </dxf>
    <dxf>
      <numFmt numFmtId="182" formatCode="&quot;R$&quot;#,##0.00_);[Red]\(&quot;R$&quot;#,##0.00\)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b val="1"/>
        <color rgb="FFFF0000"/>
      </font>
      <fill>
        <patternFill patternType="solid">
          <bgColor rgb="FFFFFF00"/>
        </patternFill>
      </fill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horizontal="center" vertical="center" wrapText="1"/>
    </dxf>
    <dxf>
      <alignment horizontal="justify" vertical="center" wrapText="1"/>
    </dxf>
    <dxf>
      <alignment horizontal="center" vertical="center"/>
    </dxf>
    <dxf>
      <alignment horizontal="center" vertical="center" wrapText="1"/>
    </dxf>
    <dxf>
      <alignment horizontal="center" vertical="center" wrapText="1"/>
    </dxf>
    <dxf>
      <numFmt numFmtId="180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xmlns:etc="http://www.wps.cn/officeDocument/2017/etCustomData" ref="F15:G20" etc:filterBottomFollowUsedRange="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xmlns:etc="http://www.wps.cn/officeDocument/2017/etCustomData" ref="A140:D148" etc:filterBottomFollowUsedRange="0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xmlns:etc="http://www.wps.cn/officeDocument/2017/etCustomData" ref="A21:D23" etc:filterBottomFollowUsedRange="0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xmlns:etc="http://www.wps.cn/officeDocument/2017/etCustomData" ref="A32:D40" etc:filterBottomFollowUsedRange="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xmlns:etc="http://www.wps.cn/officeDocument/2017/etCustomData" ref="A48:D52" etc:filterBottomFollowUsedRange="0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xmlns:etc="http://www.wps.cn/officeDocument/2017/etCustomData" ref="A88:D94" etc:filterBottomFollowUsedRange="0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xmlns:etc="http://www.wps.cn/officeDocument/2017/etCustomData" ref="A103:D104" etc:filterBottomFollowUsedRange="0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xmlns:etc="http://www.wps.cn/officeDocument/2017/etCustomData" ref="A27:D29" etc:filterBottomFollowUsedRange="0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xmlns:etc="http://www.wps.cn/officeDocument/2017/etCustomData" ref="A44:D45" etc:filterBottomFollowUsedRange="0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xmlns:etc="http://www.wps.cn/officeDocument/2017/etCustomData" ref="A56:D58" etc:filterBottomFollowUsedRange="0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xmlns:etc="http://www.wps.cn/officeDocument/2017/etCustomData" ref="F9:G12" etc:filterBottomFollowUsedRange="0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xmlns:etc="http://www.wps.cn/officeDocument/2017/etCustomData" ref="A78:D84" etc:filterBottomFollowUsedRange="0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xmlns:etc="http://www.wps.cn/officeDocument/2017/etCustomData" ref="A98:D100" etc:filterBottomFollowUsedRange="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xmlns:etc="http://www.wps.cn/officeDocument/2017/etCustomData" ref="A122:D126" etc:filterBottomFollowUsedRange="0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xmlns:etc="http://www.wps.cn/officeDocument/2017/etCustomData" ref="A76:D82" etc:filterBottomFollowUsedRange="0"/>
  <tableColumns count="4">
    <tableColumn id="1" name="3" dataDxfId="82" totalsRowLabel="Total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dataDxfId="84" totalsRowLabel="Total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xmlns:etc="http://www.wps.cn/officeDocument/2017/etCustomData" ref="A102:D103" etc:filterBottomFollowUsedRange="0"/>
  <tableColumns count="4">
    <tableColumn id="1" name="4.2" dataDxfId="91" totalsRowLabel="Total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xmlns:etc="http://www.wps.cn/officeDocument/2017/etCustomData" ref="A140:D148" etc:filterBottomFollowUsedRange="0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xmlns:etc="http://www.wps.cn/officeDocument/2017/etCustomData" ref="A24:D30" etc:filterBottomFollowUsedRange="0"/>
  <tableColumns count="4">
    <tableColumn id="1" name="1" dataDxfId="98" totalsRowLabel="Total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xmlns:etc="http://www.wps.cn/officeDocument/2017/etCustomData" ref="A92:D98" etc:filterBottomFollowUsedRange="0"/>
  <tableColumns count="4">
    <tableColumn id="1" name="4.1" dataDxfId="101" totalsRowLabel="Total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xmlns:etc="http://www.wps.cn/officeDocument/2017/etCustomData" ref="F2:G6" etc:filterBottomFollowUsedRange="0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xmlns:etc="http://www.wps.cn/officeDocument/2017/etCustomData" ref="A36:D38" etc:filterBottomFollowUsedRange="0"/>
  <tableColumns count="4">
    <tableColumn id="1" name="2.1" dataDxfId="103" totalsRowLabel="Total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xmlns:etc="http://www.wps.cn/officeDocument/2017/etCustomData" ref="A58:D65" etc:filterBottomFollowUsedRange="0"/>
  <tableColumns count="4">
    <tableColumn id="1" name="2.3" dataDxfId="106" totalsRowLabel="Total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xmlns:etc="http://www.wps.cn/officeDocument/2017/etCustomData" ref="A69:D72" etc:filterBottomFollowUsedRange="0"/>
  <tableColumns count="4">
    <tableColumn id="1" name="2" dataDxfId="109" totalsRowLabel="Total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xmlns:etc="http://www.wps.cn/officeDocument/2017/etCustomData" ref="A46:D54" etc:filterBottomFollowUsedRange="0"/>
  <tableColumns count="4">
    <tableColumn id="1" name="2.2" dataDxfId="112" totalsRowLabel="Total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xmlns:etc="http://www.wps.cn/officeDocument/2017/etCustomData" ref="A107:D109" etc:filterBottomFollowUsedRange="0"/>
  <tableColumns count="4">
    <tableColumn id="1" name="4" dataDxfId="114" totalsRowLabel="Total"/>
    <tableColumn id="2" name="Custo de Reposição do Profissional Ausente" dataDxfId="115"/>
    <tableColumn id="3" name="Comentário" dataDxfId="116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xmlns:etc="http://www.wps.cn/officeDocument/2017/etCustomData" ref="A113:D118" etc:filterBottomFollowUsedRange="0"/>
  <tableColumns count="4">
    <tableColumn id="1" name="5" dataDxfId="117" totalsRowLabel="Total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xmlns:etc="http://www.wps.cn/officeDocument/2017/etCustomData" ref="A24:D30" etc:filterBottomFollowUsedRange="0"/>
  <tableColumns count="4">
    <tableColumn id="1" name="1" dataDxfId="120" totalsRowLabel="Total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xmlns:etc="http://www.wps.cn/officeDocument/2017/etCustomData" ref="A58:D65" etc:filterBottomFollowUsedRange="0"/>
  <tableColumns count="4">
    <tableColumn id="1" name="2.3" dataDxfId="123" totalsRowLabel="Total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xmlns:etc="http://www.wps.cn/officeDocument/2017/etCustomData" ref="A92:D98" etc:filterBottomFollowUsedRange="0"/>
  <tableColumns count="4">
    <tableColumn id="1" name="4.1" dataDxfId="126" totalsRowLabel="Total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xmlns:etc="http://www.wps.cn/officeDocument/2017/etCustomData" ref="A102:D103" etc:filterBottomFollowUsedRange="0"/>
  <tableColumns count="4">
    <tableColumn id="1" name="4.2" dataDxfId="128" totalsRowLabel="Total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xmlns:etc="http://www.wps.cn/officeDocument/2017/etCustomData" ref="A10:D16" etc:filterBottomFollowUsedRange="0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xmlns:etc="http://www.wps.cn/officeDocument/2017/etCustomData" ref="A76:D82" etc:filterBottomFollowUsedRange="0"/>
  <tableColumns count="4">
    <tableColumn id="1" name="3" dataDxfId="135" totalsRowLabel="Total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xmlns:etc="http://www.wps.cn/officeDocument/2017/etCustomData" ref="A113:D118" etc:filterBottomFollowUsedRange="0"/>
  <tableColumns count="4">
    <tableColumn id="1" name="5" dataDxfId="137" totalsRowLabel="Total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dataDxfId="140" totalsRowLabel="Total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xmlns:etc="http://www.wps.cn/officeDocument/2017/etCustomData" ref="A69:D72" etc:filterBottomFollowUsedRange="0"/>
  <tableColumns count="4">
    <tableColumn id="1" name="2" dataDxfId="143" totalsRowLabel="Total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xmlns:etc="http://www.wps.cn/officeDocument/2017/etCustomData" ref="A36:D38" etc:filterBottomFollowUsedRange="0"/>
  <tableColumns count="4">
    <tableColumn id="1" name="2.1" dataDxfId="146" totalsRowLabel="Total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xmlns:etc="http://www.wps.cn/officeDocument/2017/etCustomData" ref="A107:D109" etc:filterBottomFollowUsedRange="0"/>
  <tableColumns count="4">
    <tableColumn id="1" name="4" dataDxfId="149" totalsRowLabel="Total"/>
    <tableColumn id="2" name="Custo de Reposição do Profissional Ausente" dataDxfId="150"/>
    <tableColumn id="3" name="Comentário" dataDxfId="151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xmlns:etc="http://www.wps.cn/officeDocument/2017/etCustomData" ref="A46:D54" etc:filterBottomFollowUsedRange="0"/>
  <tableColumns count="4">
    <tableColumn id="1" name="2.2" dataDxfId="152" totalsRowLabel="Total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xmlns:etc="http://www.wps.cn/officeDocument/2017/etCustomData" ref="A140:D148" etc:filterBottomFollowUsedRange="0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xmlns:etc="http://www.wps.cn/officeDocument/2017/etCustomData" ref="A24:D30" etc:filterBottomFollowUsedRange="0"/>
  <tableColumns count="4">
    <tableColumn id="1" name="1" dataDxfId="158" totalsRowLabel="Total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xmlns:etc="http://www.wps.cn/officeDocument/2017/etCustomData" ref="A68:D74" etc:filterBottomFollowUsedRange="0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xmlns:etc="http://www.wps.cn/officeDocument/2017/etCustomData" ref="A58:D65" etc:filterBottomFollowUsedRange="0"/>
  <tableColumns count="4">
    <tableColumn id="1" name="2.3" dataDxfId="161" totalsRowLabel="Total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xmlns:etc="http://www.wps.cn/officeDocument/2017/etCustomData" ref="A92:D98" etc:filterBottomFollowUsedRange="0"/>
  <tableColumns count="4">
    <tableColumn id="1" name="4.1" dataDxfId="164" totalsRowLabel="Total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xmlns:etc="http://www.wps.cn/officeDocument/2017/etCustomData" ref="A102:D103" etc:filterBottomFollowUsedRange="0"/>
  <tableColumns count="4">
    <tableColumn id="1" name="4.2" dataDxfId="166" totalsRowLabel="Total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xmlns:etc="http://www.wps.cn/officeDocument/2017/etCustomData" ref="A76:D82" etc:filterBottomFollowUsedRange="0"/>
  <tableColumns count="4">
    <tableColumn id="1" name="3" dataDxfId="173" totalsRowLabel="Total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xmlns:etc="http://www.wps.cn/officeDocument/2017/etCustomData" ref="A113:D118" etc:filterBottomFollowUsedRange="0"/>
  <tableColumns count="4">
    <tableColumn id="1" name="5" dataDxfId="175" totalsRowLabel="Total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dataDxfId="178" totalsRowLabel="Total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xmlns:etc="http://www.wps.cn/officeDocument/2017/etCustomData" ref="A69:D72" etc:filterBottomFollowUsedRange="0"/>
  <tableColumns count="4">
    <tableColumn id="1" name="2" dataDxfId="181" totalsRowLabel="Total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xmlns:etc="http://www.wps.cn/officeDocument/2017/etCustomData" ref="A36:D38" etc:filterBottomFollowUsedRange="0"/>
  <tableColumns count="4">
    <tableColumn id="1" name="2.1" dataDxfId="184" totalsRowLabel="Total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xmlns:etc="http://www.wps.cn/officeDocument/2017/etCustomData" ref="A107:D109" etc:filterBottomFollowUsedRange="0"/>
  <tableColumns count="4">
    <tableColumn id="1" name="4" dataDxfId="187" totalsRowLabel="Total"/>
    <tableColumn id="2" name="Custo de Reposição do Profissional Ausente" dataDxfId="188"/>
    <tableColumn id="3" name="Comentário" dataDxfId="189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xmlns:etc="http://www.wps.cn/officeDocument/2017/etCustomData" ref="A114:D118" etc:filterBottomFollowUsedRange="0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xmlns:etc="http://www.wps.cn/officeDocument/2017/etCustomData" ref="A46:D54" etc:filterBottomFollowUsedRange="0"/>
  <tableColumns count="4">
    <tableColumn id="1" name="2.2" dataDxfId="190" totalsRowLabel="Total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xmlns:etc="http://www.wps.cn/officeDocument/2017/etCustomData" ref="A140:D149" etc:filterBottomFollowUsedRange="0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9" name="Submódulo2.154_6111110" displayName="Submódulo2.154_6111110" ref="A36:D39" totalsRowCount="1">
  <autoFilter xmlns:etc="http://www.wps.cn/officeDocument/2017/etCustomData" ref="A36:D38" etc:filterBottomFollowUsedRange="0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11" name="ResumoPosto64_6410812" displayName="ResumoPosto64_6410812" ref="A140:D148" totalsRowShown="0">
  <autoFilter xmlns:etc="http://www.wps.cn/officeDocument/2017/etCustomData" ref="A140:D148" etc:filterBottomFollowUsedRange="0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13" name="Módulo562_5811614" displayName="Módulo562_5811614" ref="A113:D119" totalsRowCount="1">
  <autoFilter xmlns:etc="http://www.wps.cn/officeDocument/2017/etCustomData" ref="A113:D118" etc:filterBottomFollowUsedRange="0"/>
  <tableColumns count="4">
    <tableColumn id="1" name="5" totalsRowLabel="Total"/>
    <tableColumn id="2" name="Insumos Diversos"/>
    <tableColumn id="3" name="Comentário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15" name="Submódulo4.159_5411016" displayName="Submódulo4.159_5411016" ref="A92:D99" totalsRowCount="1">
  <autoFilter xmlns:etc="http://www.wps.cn/officeDocument/2017/etCustomData" ref="A92:D98" etc:filterBottomFollowUsedRange="0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17" name="Módulo663_5910518" displayName="Módulo663_5910518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19" name="Módulo153_5210920" displayName="Módulo153_5210920" ref="A24:D31" totalsRowCount="1">
  <autoFilter xmlns:etc="http://www.wps.cn/officeDocument/2017/etCustomData" ref="A24:D30" etc:filterBottomFollowUsedRange="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21" name="Submódulo4.260_5510722" displayName="Submódulo4.260_5510722" ref="A102:D104" totalsRowCount="1">
  <autoFilter xmlns:etc="http://www.wps.cn/officeDocument/2017/etCustomData" ref="A102:D103" etc:filterBottomFollowUsedRange="0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23" name="Submódulo2.255_6311424" displayName="Submódulo2.255_6311424" ref="A46:D55" totalsRowCount="1">
  <autoFilter xmlns:etc="http://www.wps.cn/officeDocument/2017/etCustomData" ref="A46:D54" etc:filterBottomFollowUsedRange="0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25" name="Table452_5610626" displayName="Table452_5610626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27" name="ResumoMódulo461_6211528" displayName="ResumoMódulo461_6211528" ref="A107:D110" totalsRowCount="1">
  <autoFilter xmlns:etc="http://www.wps.cn/officeDocument/2017/etCustomData" ref="A107:D109" etc:filterBottomFollowUsedRange="0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29" name="Módulo358_5710430" displayName="Módulo358_5710430" ref="A76:D83" totalsRowCount="1">
  <autoFilter xmlns:etc="http://www.wps.cn/officeDocument/2017/etCustomData" ref="A76:D82" etc:filterBottomFollowUsedRange="0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30" name="Submódulo2.356_5311231" displayName="Submódulo2.356_5311231" ref="A58:D66" totalsRowCount="1">
  <autoFilter xmlns:etc="http://www.wps.cn/officeDocument/2017/etCustomData" ref="A58:D65" etc:filterBottomFollowUsedRange="0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31" name="ResumoMódulo257_6011332" displayName="ResumoMódulo257_6011332" ref="A69:D73" totalsRowCount="1">
  <autoFilter xmlns:etc="http://www.wps.cn/officeDocument/2017/etCustomData" ref="A69:D72" etc:filterBottomFollowUsedRange="0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4" name="Table43_14365" displayName="Table43_14365" ref="A3:H11">
  <autoFilter xmlns:etc="http://www.wps.cn/officeDocument/2017/etCustomData" ref="A3:H11" etc:filterBottomFollowUsedRange="0"/>
  <tableColumns count="8">
    <tableColumn id="1" name="ITEM" dataDxfId="196" totalsRowLabel="Total"/>
    <tableColumn id="2" name="PEÇA" dataDxfId="197"/>
    <tableColumn id="3" name="DESCRIÇÃO" dataDxfId="198"/>
    <tableColumn id="4" name="UNIDADE" dataDxfId="199"/>
    <tableColumn id="5" name="VALOR MÉDIO UNITÁRIO (R$)" dataDxfId="200"/>
    <tableColumn id="6" name="QUANTIDADE ANUAL" dataDxfId="201"/>
    <tableColumn id="7" name="VALOR ANUAL POR EMPREGADO (R$)" dataDxfId="202"/>
    <tableColumn id="8" name="VALOR MENSAL POR EMPREGADO (R$)" dataDxfId="203" totalsRowFunction="sum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Table43_1436566" displayName="Table43_1436566" ref="A17:H25">
  <autoFilter xmlns:etc="http://www.wps.cn/officeDocument/2017/etCustomData" ref="A17:H25" etc:filterBottomFollowUsedRange="0"/>
  <tableColumns count="8">
    <tableColumn id="1" name="ITEM" dataDxfId="204" totalsRowLabel="Total"/>
    <tableColumn id="2" name="PEÇA" dataDxfId="205"/>
    <tableColumn id="3" name="DESCRIÇÃO" dataDxfId="206"/>
    <tableColumn id="4" name="UNIDADE" dataDxfId="207"/>
    <tableColumn id="5" name="VALOR MÉDIO UNITÁRIO (R$)" dataDxfId="208"/>
    <tableColumn id="6" name="QUANTIDADE ANUAL" dataDxfId="209"/>
    <tableColumn id="7" name="VALOR ANUAL POR EMPREGADO (R$)" dataDxfId="210"/>
    <tableColumn id="8" name="VALOR MENSAL POR EMPREGADO (R$)" dataDxfId="211" totalsRowFunction="sum"/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3_143656667" displayName="Table43_143656667" ref="A31:H40">
  <autoFilter xmlns:etc="http://www.wps.cn/officeDocument/2017/etCustomData" ref="A31:H40" etc:filterBottomFollowUsedRange="0"/>
  <tableColumns count="8">
    <tableColumn id="1" name="ITEM" dataDxfId="212" totalsRowLabel="Total"/>
    <tableColumn id="2" name="PEÇA" dataDxfId="213"/>
    <tableColumn id="3" name="DESCRIÇÃO" dataDxfId="214"/>
    <tableColumn id="4" name="UNIDADE" dataDxfId="215"/>
    <tableColumn id="5" name="VALOR MÉDIO UNITÁRIO (R$)" dataDxfId="216"/>
    <tableColumn id="6" name="QUANTIDADE ANUAL" dataDxfId="217"/>
    <tableColumn id="7" name="VALOR ANUAL POR EMPREGADO (R$)" dataDxfId="218"/>
    <tableColumn id="8" name="VALOR MENSAL POR EMPREGADO (R$)" dataDxfId="219" totalsRowFunction="sum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8" name="Table43_14365666769" displayName="Table43_14365666769" ref="A46:H54">
  <autoFilter xmlns:etc="http://www.wps.cn/officeDocument/2017/etCustomData" ref="A46:H54" etc:filterBottomFollowUsedRange="0"/>
  <tableColumns count="8">
    <tableColumn id="1" name="ITEM" totalsRowLabel="Total"/>
    <tableColumn id="2" name="PEÇA" dataDxfId="220"/>
    <tableColumn id="3" name="DESCRIÇÃO"/>
    <tableColumn id="4" name="UNIDADE" dataDxfId="221"/>
    <tableColumn id="5" name="VALOR MÉDIO UNITÁRIO (R$)"/>
    <tableColumn id="6" name="QUANTIDADE ANUAL"/>
    <tableColumn id="7" name="VALOR ANUAL POR EMPREGADO (R$)" dataDxfId="222"/>
    <tableColumn id="8" name="VALOR MENSAL POR EMPREGADO (R$)" dataDxfId="223" totalsRowFunction="sum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5" name="Table43_2" displayName="Table43_2" ref="A3:G7" totalsRowCount="1">
  <autoFilter xmlns:etc="http://www.wps.cn/officeDocument/2017/etCustomData" ref="A3:G6" etc:filterBottomFollowUsedRange="0"/>
  <tableColumns count="7">
    <tableColumn id="1" name="Item" dataDxfId="224" totalsRowLabel="TOTAL"/>
    <tableColumn id="2" name="Peça" dataDxfId="225"/>
    <tableColumn id="3" name="Descrição" dataDxfId="226"/>
    <tableColumn id="4" name="VALOR &#10;MÉDIO&#10;UNITÁRIO&#10;(R$)" dataDxfId="227"/>
    <tableColumn id="5" name="QUANTIDADE ANUAL" dataDxfId="228"/>
    <tableColumn id="6" name="VALOR ANUAL POR EMPREGADO (R$)" dataDxfId="229"/>
    <tableColumn id="7" name="VALOR MENSAL POR EMPREGADO (R$)" dataDxfId="230" totalsRowFunction="sum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xmlns:etc="http://www.wps.cn/officeDocument/2017/etCustomData" ref="A61:D64" etc:filterBottomFollowUsedRange="0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7" name="Table39" displayName="Table39" ref="A2:G7" totalsRowCount="1">
  <tableColumns count="7">
    <tableColumn id="1" name="Item" dataDxfId="231" totalsRowLabel="TOTAL"/>
    <tableColumn id="2" name="Descrição" dataDxfId="232"/>
    <tableColumn id="7" name="Unidade" dataDxfId="233"/>
    <tableColumn id="3" name="Quantidade" dataDxfId="234"/>
    <tableColumn id="6" name="VIGÊNCIA (Mês)" dataDxfId="235"/>
    <tableColumn id="4" name="VALOR UNITÁRIO MÁXIMO ACEITÁVEL" dataDxfId="236"/>
    <tableColumn id="5" name="VALOR &#10;TOTAL&#10;MÁXIMO&#10;ACEITÁVEL" totalsRowFunction="custom">
      <totalsRowFormula>SUM(G3:G6)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xmlns:etc="http://www.wps.cn/officeDocument/2017/etCustomData" ref="A108:D110" etc:filterBottomFollowUsedRange="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59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ht="57" customHeight="1" spans="1:11">
      <c r="A2" s="160" t="s">
        <v>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ht="51" customHeight="1" spans="1:11">
      <c r="A3" s="160" t="s">
        <v>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ht="54.75" customHeight="1" spans="1:11">
      <c r="A4" s="160" t="s">
        <v>3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ht="67.5" customHeight="1" spans="1:11">
      <c r="A5" s="161" t="s">
        <v>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</row>
    <row r="6" ht="84.75" customHeight="1" spans="1:11">
      <c r="A6" s="161" t="s">
        <v>5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</row>
    <row r="7" ht="49.5" customHeight="1" spans="1:11">
      <c r="A7" s="161" t="s">
        <v>6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</row>
    <row r="8" ht="38.25" customHeight="1" spans="1:11">
      <c r="A8" s="161" t="s">
        <v>7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</row>
    <row r="9" ht="39.75" customHeight="1" spans="1:11">
      <c r="A9" s="160" t="s">
        <v>8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</row>
    <row r="10" ht="41.25" customHeight="1" spans="1:11">
      <c r="A10" s="160" t="s">
        <v>9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</row>
    <row r="11" ht="41.25" customHeight="1" spans="1:11">
      <c r="A11" s="162" t="s">
        <v>10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</row>
    <row r="12" spans="1:11">
      <c r="A12" s="163" t="s">
        <v>11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</row>
    <row r="13" spans="1:11">
      <c r="A13" s="164" t="s">
        <v>12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1:11">
      <c r="A14" s="164" t="s">
        <v>13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45" t="s">
        <v>14</v>
      </c>
      <c r="B1" s="145"/>
      <c r="C1" s="145"/>
      <c r="D1" s="145"/>
      <c r="F1" s="65" t="s">
        <v>15</v>
      </c>
      <c r="G1" s="65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>
      <c r="A2" s="66" t="s">
        <v>16</v>
      </c>
      <c r="B2" t="s">
        <v>17</v>
      </c>
      <c r="C2" s="66" t="s">
        <v>18</v>
      </c>
      <c r="D2" s="66" t="s">
        <v>19</v>
      </c>
      <c r="F2" s="71" t="s">
        <v>17</v>
      </c>
      <c r="G2" s="71" t="s">
        <v>19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21">
      <c r="A3" s="66">
        <v>1</v>
      </c>
      <c r="B3" t="s">
        <v>20</v>
      </c>
      <c r="C3" s="66"/>
      <c r="D3" s="66" t="s">
        <v>21</v>
      </c>
      <c r="F3" t="s">
        <v>22</v>
      </c>
      <c r="G3" s="146">
        <v>0</v>
      </c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>
      <c r="A4" s="66">
        <v>2</v>
      </c>
      <c r="B4" t="s">
        <v>23</v>
      </c>
      <c r="C4" s="66"/>
      <c r="D4" s="66" t="s">
        <v>24</v>
      </c>
      <c r="F4" t="s">
        <v>25</v>
      </c>
      <c r="G4" s="146">
        <v>12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>
      <c r="A5" s="66">
        <v>3</v>
      </c>
      <c r="B5" t="s">
        <v>26</v>
      </c>
      <c r="C5" s="66" t="s">
        <v>27</v>
      </c>
      <c r="D5" s="147">
        <v>998</v>
      </c>
      <c r="F5" t="s">
        <v>28</v>
      </c>
      <c r="G5" s="67">
        <v>22</v>
      </c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>
      <c r="A6" s="66">
        <v>4</v>
      </c>
      <c r="B6" t="s">
        <v>29</v>
      </c>
      <c r="C6" s="66" t="s">
        <v>30</v>
      </c>
      <c r="D6" s="66" t="s">
        <v>31</v>
      </c>
      <c r="F6" t="s">
        <v>32</v>
      </c>
      <c r="G6" s="148">
        <v>0.03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>
      <c r="A7" s="66">
        <v>5</v>
      </c>
      <c r="B7" t="s">
        <v>33</v>
      </c>
      <c r="C7" s="66"/>
      <c r="D7" s="66" t="s">
        <v>34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</row>
    <row r="8" spans="6:21">
      <c r="F8" s="65" t="s">
        <v>35</v>
      </c>
      <c r="G8" s="65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>
      <c r="A9" s="49" t="s">
        <v>36</v>
      </c>
      <c r="B9" s="49"/>
      <c r="C9" s="49"/>
      <c r="D9" s="49"/>
      <c r="F9" s="71" t="s">
        <v>37</v>
      </c>
      <c r="G9" s="71" t="s">
        <v>38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</row>
    <row r="10" spans="1:21">
      <c r="A10" s="66" t="s">
        <v>39</v>
      </c>
      <c r="B10" s="71" t="s">
        <v>40</v>
      </c>
      <c r="C10" s="66" t="s">
        <v>18</v>
      </c>
      <c r="D10" s="66" t="s">
        <v>19</v>
      </c>
      <c r="F10" t="s">
        <v>41</v>
      </c>
      <c r="G10" s="72">
        <v>0.4337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1:21">
      <c r="A11" s="66" t="s">
        <v>42</v>
      </c>
      <c r="B11" t="s">
        <v>43</v>
      </c>
      <c r="C11" s="66"/>
      <c r="D11" s="73">
        <f>Salário_Normativo_da_Categoria_Profissional</f>
        <v>998</v>
      </c>
      <c r="F11" t="s">
        <v>44</v>
      </c>
      <c r="G11" s="72">
        <v>0.4337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</row>
    <row r="12" spans="1:21">
      <c r="A12" s="66" t="s">
        <v>45</v>
      </c>
      <c r="B12" t="s">
        <v>46</v>
      </c>
      <c r="C12" s="66"/>
      <c r="D12" s="73"/>
      <c r="F12" t="s">
        <v>47</v>
      </c>
      <c r="G12" s="72">
        <v>0.0218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</row>
    <row r="13" spans="1:21">
      <c r="A13" s="66" t="s">
        <v>48</v>
      </c>
      <c r="B13" t="s">
        <v>49</v>
      </c>
      <c r="C13" s="66"/>
      <c r="D13" s="73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</row>
    <row r="14" spans="1:21">
      <c r="A14" s="66" t="s">
        <v>50</v>
      </c>
      <c r="B14" t="s">
        <v>51</v>
      </c>
      <c r="C14" s="66"/>
      <c r="D14" s="73"/>
      <c r="F14" s="65" t="s">
        <v>52</v>
      </c>
      <c r="G14" s="65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</row>
    <row r="15" spans="1:21">
      <c r="A15" s="66" t="s">
        <v>53</v>
      </c>
      <c r="B15" t="s">
        <v>54</v>
      </c>
      <c r="C15" s="66"/>
      <c r="D15" s="73"/>
      <c r="F15" s="149" t="s">
        <v>17</v>
      </c>
      <c r="G15" s="149" t="s">
        <v>38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</row>
    <row r="16" spans="1:21">
      <c r="A16" s="66" t="s">
        <v>55</v>
      </c>
      <c r="B16" t="s">
        <v>56</v>
      </c>
      <c r="C16" s="66"/>
      <c r="D16" s="73"/>
      <c r="F16" s="76" t="s">
        <v>57</v>
      </c>
      <c r="G16" s="150">
        <v>0.0471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</row>
    <row r="17" spans="1:21">
      <c r="A17" s="66" t="s">
        <v>58</v>
      </c>
      <c r="C17" s="66"/>
      <c r="D17" s="73">
        <f>SUBTOTAL(109,Módulo1[Valor])</f>
        <v>998</v>
      </c>
      <c r="F17" s="76" t="s">
        <v>59</v>
      </c>
      <c r="G17" s="150">
        <v>0.0467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</row>
    <row r="18" spans="6:21">
      <c r="F18" s="76" t="s">
        <v>60</v>
      </c>
      <c r="G18" s="151">
        <v>0.0165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</row>
    <row r="19" spans="1:21">
      <c r="A19" s="74" t="s">
        <v>61</v>
      </c>
      <c r="B19" s="74"/>
      <c r="C19" s="74"/>
      <c r="D19" s="74"/>
      <c r="F19" s="76" t="s">
        <v>62</v>
      </c>
      <c r="G19" s="151">
        <v>0.076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</row>
    <row r="20" spans="1:21">
      <c r="A20" s="65" t="s">
        <v>63</v>
      </c>
      <c r="B20" s="65"/>
      <c r="C20" s="65"/>
      <c r="D20" s="65"/>
      <c r="F20" s="76" t="s">
        <v>64</v>
      </c>
      <c r="G20" s="151">
        <v>0.05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</row>
    <row r="21" spans="1:21">
      <c r="A21" s="66" t="s">
        <v>65</v>
      </c>
      <c r="B21" s="71" t="s">
        <v>66</v>
      </c>
      <c r="C21" s="66" t="s">
        <v>18</v>
      </c>
      <c r="D21" s="66" t="s">
        <v>19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</row>
    <row r="22" spans="1:21">
      <c r="A22" s="66" t="s">
        <v>42</v>
      </c>
      <c r="B22" t="s">
        <v>67</v>
      </c>
      <c r="D22" s="73">
        <f>Módulo1[[#Totals],[Valor]]/12</f>
        <v>83.1666666666667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</row>
    <row r="23" spans="1:21">
      <c r="A23" s="66" t="s">
        <v>45</v>
      </c>
      <c r="B23" t="s">
        <v>68</v>
      </c>
      <c r="D23" s="73">
        <f>(Módulo1[[#Totals],[Valor]]/12)*(1+(1/3))</f>
        <v>110.888888888889</v>
      </c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</row>
    <row r="24" spans="1:21">
      <c r="A24" s="66" t="s">
        <v>58</v>
      </c>
      <c r="D24" s="73">
        <f>SUBTOTAL(109,Submódulo2.1[Valor])</f>
        <v>194.055555555556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</row>
    <row r="25" spans="1:21">
      <c r="A25" s="66"/>
      <c r="D25" s="73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</row>
    <row r="26" spans="1:21">
      <c r="A26" s="152" t="s">
        <v>69</v>
      </c>
      <c r="B26" s="152"/>
      <c r="C26" s="152"/>
      <c r="D26" s="152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</row>
    <row r="27" spans="1:21">
      <c r="A27" s="152" t="s">
        <v>16</v>
      </c>
      <c r="B27" s="152" t="s">
        <v>70</v>
      </c>
      <c r="C27" s="152" t="s">
        <v>71</v>
      </c>
      <c r="D27" s="153" t="s">
        <v>72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</row>
    <row r="28" ht="30" spans="1:21">
      <c r="A28" s="85" t="s">
        <v>42</v>
      </c>
      <c r="B28" s="154" t="s">
        <v>73</v>
      </c>
      <c r="C28" s="155" t="s">
        <v>74</v>
      </c>
      <c r="D28" s="154" t="s">
        <v>75</v>
      </c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</row>
    <row r="29" ht="30" spans="1:21">
      <c r="A29" s="85" t="s">
        <v>45</v>
      </c>
      <c r="B29" s="156" t="s">
        <v>68</v>
      </c>
      <c r="C29" s="155" t="s">
        <v>74</v>
      </c>
      <c r="D29" s="154" t="s">
        <v>76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</row>
    <row r="30" spans="1:21">
      <c r="A30" s="66"/>
      <c r="B30" s="66"/>
      <c r="C30" s="97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</row>
    <row r="31" spans="1:4">
      <c r="A31" s="65" t="s">
        <v>77</v>
      </c>
      <c r="B31" s="65"/>
      <c r="C31" s="65"/>
      <c r="D31" s="65"/>
    </row>
    <row r="32" spans="1:4">
      <c r="A32" s="66" t="s">
        <v>78</v>
      </c>
      <c r="B32" s="71" t="s">
        <v>79</v>
      </c>
      <c r="C32" s="66" t="s">
        <v>38</v>
      </c>
      <c r="D32" s="66" t="s">
        <v>80</v>
      </c>
    </row>
    <row r="33" spans="1:4">
      <c r="A33" s="66" t="s">
        <v>42</v>
      </c>
      <c r="B33" t="s">
        <v>81</v>
      </c>
      <c r="C33" s="75">
        <v>0.2</v>
      </c>
      <c r="D33" s="73">
        <f>C33*(Módulo1[[#Totals],[Valor]]+Submódulo2.1[[#Totals],[Valor]])</f>
        <v>238.411111111111</v>
      </c>
    </row>
    <row r="34" spans="1:4">
      <c r="A34" s="66" t="s">
        <v>45</v>
      </c>
      <c r="B34" t="s">
        <v>82</v>
      </c>
      <c r="C34" s="75">
        <v>0.025</v>
      </c>
      <c r="D34" s="73">
        <f>C34*(Módulo1[[#Totals],[Valor]]+Submódulo2.1[[#Totals],[Valor]])</f>
        <v>29.8013888888889</v>
      </c>
    </row>
    <row r="35" spans="1:4">
      <c r="A35" s="66" t="s">
        <v>48</v>
      </c>
      <c r="B35" t="s">
        <v>83</v>
      </c>
      <c r="C35" s="75">
        <f>Servente!G6</f>
        <v>0.03</v>
      </c>
      <c r="D35" s="73">
        <f>C35*(Módulo1[[#Totals],[Valor]]+Submódulo2.1[[#Totals],[Valor]])</f>
        <v>35.7616666666667</v>
      </c>
    </row>
    <row r="36" spans="1:4">
      <c r="A36" s="66" t="s">
        <v>50</v>
      </c>
      <c r="B36" t="s">
        <v>84</v>
      </c>
      <c r="C36" s="75">
        <v>0.015</v>
      </c>
      <c r="D36" s="73">
        <f>C36*(Módulo1[[#Totals],[Valor]]+Submódulo2.1[[#Totals],[Valor]])</f>
        <v>17.8808333333333</v>
      </c>
    </row>
    <row r="37" spans="1:4">
      <c r="A37" s="66" t="s">
        <v>53</v>
      </c>
      <c r="B37" t="s">
        <v>85</v>
      </c>
      <c r="C37" s="75">
        <v>0.01</v>
      </c>
      <c r="D37" s="73">
        <f>C37*(Módulo1[[#Totals],[Valor]]+Submódulo2.1[[#Totals],[Valor]])</f>
        <v>11.9205555555556</v>
      </c>
    </row>
    <row r="38" spans="1:4">
      <c r="A38" s="66" t="s">
        <v>55</v>
      </c>
      <c r="B38" t="s">
        <v>86</v>
      </c>
      <c r="C38" s="75">
        <v>0.006</v>
      </c>
      <c r="D38" s="73">
        <f>C38*(Módulo1[[#Totals],[Valor]]+Submódulo2.1[[#Totals],[Valor]])</f>
        <v>7.15233333333333</v>
      </c>
    </row>
    <row r="39" spans="1:4">
      <c r="A39" s="66" t="s">
        <v>87</v>
      </c>
      <c r="B39" t="s">
        <v>88</v>
      </c>
      <c r="C39" s="75">
        <v>0.002</v>
      </c>
      <c r="D39" s="73">
        <f>C39*(Módulo1[[#Totals],[Valor]]+Submódulo2.1[[#Totals],[Valor]])</f>
        <v>2.38411111111111</v>
      </c>
    </row>
    <row r="40" spans="1:4">
      <c r="A40" s="66" t="s">
        <v>89</v>
      </c>
      <c r="B40" t="s">
        <v>90</v>
      </c>
      <c r="C40" s="75">
        <v>0.08</v>
      </c>
      <c r="D40" s="73">
        <f>C40*(Módulo1[[#Totals],[Valor]]+Submódulo2.1[[#Totals],[Valor]])</f>
        <v>95.3644444444445</v>
      </c>
    </row>
    <row r="41" spans="1:4">
      <c r="A41" s="66" t="s">
        <v>58</v>
      </c>
      <c r="C41" s="82">
        <f>SUBTOTAL(109,Submódulo2.2[Percentual])</f>
        <v>0.368</v>
      </c>
      <c r="D41" s="73">
        <f>SUBTOTAL(109,Submódulo2.2[Valor ])</f>
        <v>438.676444444444</v>
      </c>
    </row>
    <row r="42" spans="1:4">
      <c r="A42" s="66"/>
      <c r="C42" s="82"/>
      <c r="D42" s="73"/>
    </row>
    <row r="43" spans="1:4">
      <c r="A43" s="152" t="s">
        <v>91</v>
      </c>
      <c r="B43" s="152"/>
      <c r="C43" s="152"/>
      <c r="D43" s="152"/>
    </row>
    <row r="44" spans="1:4">
      <c r="A44" s="152" t="s">
        <v>16</v>
      </c>
      <c r="B44" s="152" t="s">
        <v>70</v>
      </c>
      <c r="C44" s="152" t="s">
        <v>71</v>
      </c>
      <c r="D44" s="153" t="s">
        <v>72</v>
      </c>
    </row>
    <row r="45" ht="30" spans="1:4">
      <c r="A45" s="85" t="s">
        <v>92</v>
      </c>
      <c r="B45" s="154" t="s">
        <v>79</v>
      </c>
      <c r="C45" s="154" t="s">
        <v>93</v>
      </c>
      <c r="D45" s="154" t="s">
        <v>94</v>
      </c>
    </row>
    <row r="47" spans="1:4">
      <c r="A47" s="65" t="s">
        <v>95</v>
      </c>
      <c r="B47" s="65"/>
      <c r="C47" s="65"/>
      <c r="D47" s="65"/>
    </row>
    <row r="48" spans="1:4">
      <c r="A48" s="66" t="s">
        <v>96</v>
      </c>
      <c r="B48" s="71" t="s">
        <v>97</v>
      </c>
      <c r="C48" s="66" t="s">
        <v>18</v>
      </c>
      <c r="D48" s="66" t="s">
        <v>19</v>
      </c>
    </row>
    <row r="49" spans="1:4">
      <c r="A49" s="66" t="s">
        <v>42</v>
      </c>
      <c r="B49" t="s">
        <v>98</v>
      </c>
      <c r="D49" s="73">
        <f>IF(G3=0,0,(Servente!G3*2*Servente!G5)-(6%*_1A))</f>
        <v>0</v>
      </c>
    </row>
    <row r="50" spans="1:4">
      <c r="A50" s="66" t="s">
        <v>45</v>
      </c>
      <c r="B50" t="s">
        <v>99</v>
      </c>
      <c r="D50" s="73">
        <f>(Servente!G4*Servente!G5)*80%</f>
        <v>211.2</v>
      </c>
    </row>
    <row r="51" spans="1:4">
      <c r="A51" s="66" t="s">
        <v>48</v>
      </c>
      <c r="B51" t="s">
        <v>100</v>
      </c>
      <c r="D51" s="73"/>
    </row>
    <row r="52" spans="1:4">
      <c r="A52" s="66" t="s">
        <v>50</v>
      </c>
      <c r="B52" t="s">
        <v>56</v>
      </c>
      <c r="D52" s="73"/>
    </row>
    <row r="53" spans="1:4">
      <c r="A53" s="66" t="s">
        <v>58</v>
      </c>
      <c r="D53" s="73">
        <v>211.2</v>
      </c>
    </row>
    <row r="54" spans="1:4">
      <c r="A54" s="66"/>
      <c r="D54" s="73"/>
    </row>
    <row r="55" spans="1:4">
      <c r="A55" s="152" t="s">
        <v>101</v>
      </c>
      <c r="B55" s="152"/>
      <c r="C55" s="152"/>
      <c r="D55" s="152"/>
    </row>
    <row r="56" spans="1:4">
      <c r="A56" s="152" t="s">
        <v>16</v>
      </c>
      <c r="B56" s="152" t="s">
        <v>70</v>
      </c>
      <c r="C56" s="152" t="s">
        <v>71</v>
      </c>
      <c r="D56" s="152" t="s">
        <v>72</v>
      </c>
    </row>
    <row r="57" ht="45" spans="1:4">
      <c r="A57" s="85" t="s">
        <v>42</v>
      </c>
      <c r="B57" s="154" t="s">
        <v>98</v>
      </c>
      <c r="C57" s="155" t="s">
        <v>102</v>
      </c>
      <c r="D57" s="155" t="s">
        <v>103</v>
      </c>
    </row>
    <row r="58" ht="30" spans="1:4">
      <c r="A58" s="85" t="s">
        <v>45</v>
      </c>
      <c r="B58" s="156" t="s">
        <v>99</v>
      </c>
      <c r="C58" s="155" t="s">
        <v>102</v>
      </c>
      <c r="D58" s="155" t="s">
        <v>104</v>
      </c>
    </row>
    <row r="59" ht="19.5" customHeight="1" spans="1:4">
      <c r="A59" s="66"/>
      <c r="D59" s="73"/>
    </row>
    <row r="60" spans="1:4">
      <c r="A60" s="65" t="s">
        <v>105</v>
      </c>
      <c r="B60" s="65"/>
      <c r="C60" s="65"/>
      <c r="D60" s="65"/>
    </row>
    <row r="61" spans="1:4">
      <c r="A61" s="66" t="s">
        <v>106</v>
      </c>
      <c r="B61" s="71" t="s">
        <v>107</v>
      </c>
      <c r="C61" s="66" t="s">
        <v>18</v>
      </c>
      <c r="D61" s="66" t="s">
        <v>19</v>
      </c>
    </row>
    <row r="62" spans="1:4">
      <c r="A62" s="66" t="s">
        <v>65</v>
      </c>
      <c r="B62" t="s">
        <v>66</v>
      </c>
      <c r="C62" s="66"/>
      <c r="D62" s="73">
        <f>Submódulo2.1[[#Totals],[Valor]]</f>
        <v>194.055555555556</v>
      </c>
    </row>
    <row r="63" spans="1:4">
      <c r="A63" s="66" t="s">
        <v>78</v>
      </c>
      <c r="B63" t="s">
        <v>79</v>
      </c>
      <c r="C63" s="66"/>
      <c r="D63" s="73">
        <f>Submódulo2.2[[#Totals],[Valor ]]</f>
        <v>438.676444444444</v>
      </c>
    </row>
    <row r="64" spans="1:4">
      <c r="A64" s="66" t="s">
        <v>96</v>
      </c>
      <c r="B64" t="s">
        <v>97</v>
      </c>
      <c r="C64" s="66"/>
      <c r="D64" s="73">
        <f>Submódulo2.3[[#Totals],[Valor]]</f>
        <v>211.2</v>
      </c>
    </row>
    <row r="65" spans="1:4">
      <c r="A65" s="66" t="s">
        <v>58</v>
      </c>
      <c r="C65" s="66"/>
      <c r="D65" s="73">
        <v>843.932</v>
      </c>
    </row>
    <row r="67" spans="1:4">
      <c r="A67" s="49" t="s">
        <v>108</v>
      </c>
      <c r="B67" s="49"/>
      <c r="C67" s="49"/>
      <c r="D67" s="49"/>
    </row>
    <row r="68" spans="1:4">
      <c r="A68" s="66" t="s">
        <v>109</v>
      </c>
      <c r="B68" s="71" t="s">
        <v>110</v>
      </c>
      <c r="C68" s="66" t="s">
        <v>18</v>
      </c>
      <c r="D68" s="66" t="s">
        <v>19</v>
      </c>
    </row>
    <row r="69" spans="1:4">
      <c r="A69" s="66" t="s">
        <v>42</v>
      </c>
      <c r="B69" t="s">
        <v>111</v>
      </c>
      <c r="D69" s="73">
        <f>((Módulo1[[#Totals],[Valor]]+D62+D64)/12)*Servente!G10</f>
        <v>50.715994537037</v>
      </c>
    </row>
    <row r="70" spans="1:4">
      <c r="A70" s="66" t="s">
        <v>45</v>
      </c>
      <c r="B70" t="s">
        <v>112</v>
      </c>
      <c r="D70" s="73">
        <f>(D40/12)*Servente!G10</f>
        <v>3.44662996296296</v>
      </c>
    </row>
    <row r="71" spans="1:4">
      <c r="A71" s="66" t="s">
        <v>48</v>
      </c>
      <c r="B71" t="s">
        <v>113</v>
      </c>
      <c r="D71" s="73">
        <f>D40*50%*Servente!G10</f>
        <v>20.6797797777778</v>
      </c>
    </row>
    <row r="72" spans="1:4">
      <c r="A72" s="66" t="s">
        <v>50</v>
      </c>
      <c r="B72" t="s">
        <v>114</v>
      </c>
      <c r="D72" s="73">
        <f>((Módulo1[[#Totals],[Valor]]+ResumoMódulo2[[#Totals],[Valor]])/12)*Servente!G11</f>
        <v>66.5704923666667</v>
      </c>
    </row>
    <row r="73" spans="1:4">
      <c r="A73" s="66" t="s">
        <v>53</v>
      </c>
      <c r="B73" t="s">
        <v>115</v>
      </c>
      <c r="D73" s="73">
        <f>D40*50%*Servente!G11</f>
        <v>20.6797797777778</v>
      </c>
    </row>
    <row r="74" spans="1:4">
      <c r="A74" s="66" t="s">
        <v>55</v>
      </c>
      <c r="B74" t="s">
        <v>116</v>
      </c>
      <c r="D74" s="73">
        <f>-D62*Servente!G12</f>
        <v>-4.23041111111111</v>
      </c>
    </row>
    <row r="75" spans="1:4">
      <c r="A75" s="66" t="s">
        <v>58</v>
      </c>
      <c r="D75" s="73">
        <f>SUBTOTAL(109,Módulo3[Valor])</f>
        <v>157.862265311111</v>
      </c>
    </row>
    <row r="76" spans="1:4">
      <c r="A76" s="66"/>
      <c r="D76" s="73"/>
    </row>
    <row r="77" spans="1:4">
      <c r="A77" s="152" t="s">
        <v>117</v>
      </c>
      <c r="B77" s="152"/>
      <c r="C77" s="152"/>
      <c r="D77" s="152"/>
    </row>
    <row r="78" spans="1:4">
      <c r="A78" s="152" t="s">
        <v>16</v>
      </c>
      <c r="B78" s="152" t="s">
        <v>70</v>
      </c>
      <c r="C78" s="152" t="s">
        <v>71</v>
      </c>
      <c r="D78" s="152" t="s">
        <v>72</v>
      </c>
    </row>
    <row r="79" ht="60" spans="1:4">
      <c r="A79" s="85" t="s">
        <v>42</v>
      </c>
      <c r="B79" s="154" t="s">
        <v>111</v>
      </c>
      <c r="C79" s="155" t="s">
        <v>118</v>
      </c>
      <c r="D79" s="155" t="s">
        <v>119</v>
      </c>
    </row>
    <row r="80" ht="60" spans="1:4">
      <c r="A80" s="85" t="s">
        <v>45</v>
      </c>
      <c r="B80" s="156" t="s">
        <v>112</v>
      </c>
      <c r="C80" s="155" t="s">
        <v>120</v>
      </c>
      <c r="D80" s="155" t="s">
        <v>119</v>
      </c>
    </row>
    <row r="81" ht="75" spans="1:4">
      <c r="A81" s="85" t="s">
        <v>48</v>
      </c>
      <c r="B81" s="156" t="s">
        <v>113</v>
      </c>
      <c r="C81" s="155" t="s">
        <v>120</v>
      </c>
      <c r="D81" s="157" t="s">
        <v>121</v>
      </c>
    </row>
    <row r="82" ht="60" spans="1:4">
      <c r="A82" s="85" t="s">
        <v>50</v>
      </c>
      <c r="B82" s="86" t="s">
        <v>114</v>
      </c>
      <c r="C82" s="155" t="s">
        <v>122</v>
      </c>
      <c r="D82" s="157" t="s">
        <v>123</v>
      </c>
    </row>
    <row r="83" ht="75" spans="1:4">
      <c r="A83" s="85" t="s">
        <v>53</v>
      </c>
      <c r="B83" s="86" t="s">
        <v>115</v>
      </c>
      <c r="C83" s="155" t="s">
        <v>120</v>
      </c>
      <c r="D83" s="157" t="s">
        <v>124</v>
      </c>
    </row>
    <row r="84" ht="60" spans="1:4">
      <c r="A84" s="85" t="s">
        <v>55</v>
      </c>
      <c r="B84" s="86" t="s">
        <v>116</v>
      </c>
      <c r="C84" s="155" t="s">
        <v>125</v>
      </c>
      <c r="D84" s="157" t="s">
        <v>126</v>
      </c>
    </row>
    <row r="86" customHeight="1" spans="1:4">
      <c r="A86" s="95" t="s">
        <v>127</v>
      </c>
      <c r="B86" s="95"/>
      <c r="C86" s="95"/>
      <c r="D86" s="95"/>
    </row>
    <row r="87" spans="1:4">
      <c r="A87" s="65" t="s">
        <v>128</v>
      </c>
      <c r="B87" s="65"/>
      <c r="C87" s="65"/>
      <c r="D87" s="65"/>
    </row>
    <row r="88" spans="1:4">
      <c r="A88" s="66" t="s">
        <v>129</v>
      </c>
      <c r="B88" s="71" t="s">
        <v>130</v>
      </c>
      <c r="C88" s="66" t="s">
        <v>131</v>
      </c>
      <c r="D88" s="66" t="s">
        <v>19</v>
      </c>
    </row>
    <row r="89" spans="1:4">
      <c r="A89" s="66" t="s">
        <v>42</v>
      </c>
      <c r="B89" t="s">
        <v>132</v>
      </c>
      <c r="C89" s="66">
        <v>20.71</v>
      </c>
      <c r="D89" s="73">
        <f>(((Módulo1[[#Totals],[Valor]]+ResumoMódulo2[[#Totals],[Valor]]+Módulo3[[#Totals],[Valor]])/30)*C89)/12</f>
        <v>115.043720096092</v>
      </c>
    </row>
    <row r="90" spans="1:4">
      <c r="A90" s="66" t="s">
        <v>45</v>
      </c>
      <c r="B90" t="s">
        <v>133</v>
      </c>
      <c r="C90" s="66">
        <v>1.4181</v>
      </c>
      <c r="D90" s="73">
        <f>(((Módulo1[[#Totals],[Valor]]+ResumoMódulo2[[#Totals],[Valor]]+Módulo3[[#Totals],[Valor]])/30)*C90)/12</f>
        <v>7.87752291010468</v>
      </c>
    </row>
    <row r="91" spans="1:4">
      <c r="A91" s="66" t="s">
        <v>48</v>
      </c>
      <c r="B91" t="s">
        <v>134</v>
      </c>
      <c r="C91" s="66">
        <v>0.1898</v>
      </c>
      <c r="D91" s="73">
        <f>(((Módulo1[[#Totals],[Valor]]+ResumoMódulo2[[#Totals],[Valor]]+Módulo3[[#Totals],[Valor]])/30)*C91)/12</f>
        <v>1.05433597654458</v>
      </c>
    </row>
    <row r="92" spans="1:4">
      <c r="A92" s="66" t="s">
        <v>50</v>
      </c>
      <c r="B92" t="s">
        <v>135</v>
      </c>
      <c r="C92" s="66">
        <v>0.9545</v>
      </c>
      <c r="D92" s="73">
        <f>(((Módulo1[[#Totals],[Valor]]+ResumoMódulo2[[#Totals],[Valor]]+Módulo3[[#Totals],[Valor]])/30)*C92)/12</f>
        <v>5.3022322951096</v>
      </c>
    </row>
    <row r="93" spans="1:4">
      <c r="A93" s="66" t="s">
        <v>53</v>
      </c>
      <c r="B93" t="s">
        <v>136</v>
      </c>
      <c r="C93" s="66">
        <v>2.4723</v>
      </c>
      <c r="D93" s="73">
        <f>(((Módulo1[[#Totals],[Valor]]+ResumoMódulo2[[#Totals],[Valor]]+Módulo3[[#Totals],[Valor]])/30)*C93)/12</f>
        <v>13.7335871170241</v>
      </c>
    </row>
    <row r="94" spans="1:4">
      <c r="A94" s="66" t="s">
        <v>55</v>
      </c>
      <c r="B94" t="s">
        <v>137</v>
      </c>
      <c r="C94" s="66">
        <v>3.4521</v>
      </c>
      <c r="D94" s="73">
        <f>(((Módulo1[[#Totals],[Valor]]+ResumoMódulo2[[#Totals],[Valor]]+Módulo3[[#Totals],[Valor]])/30)*C94)/12</f>
        <v>19.1763605091125</v>
      </c>
    </row>
    <row r="95" spans="1:4">
      <c r="A95" s="66" t="s">
        <v>58</v>
      </c>
      <c r="C95" s="66">
        <f>SUBTOTAL(109,Submódulo4.1[Dias de ausência])</f>
        <v>29.1968</v>
      </c>
      <c r="D95" s="73">
        <f>SUBTOTAL(109,Submódulo4.1[Valor])</f>
        <v>162.187758903987</v>
      </c>
    </row>
    <row r="96" spans="1:4">
      <c r="A96" s="66"/>
      <c r="C96" s="66"/>
      <c r="D96" s="73"/>
    </row>
    <row r="97" spans="1:4">
      <c r="A97" s="152" t="s">
        <v>138</v>
      </c>
      <c r="B97" s="152"/>
      <c r="C97" s="152"/>
      <c r="D97" s="152"/>
    </row>
    <row r="98" spans="1:4">
      <c r="A98" s="152" t="s">
        <v>16</v>
      </c>
      <c r="B98" s="152" t="s">
        <v>70</v>
      </c>
      <c r="C98" s="152" t="s">
        <v>71</v>
      </c>
      <c r="D98" s="152" t="s">
        <v>72</v>
      </c>
    </row>
    <row r="99" spans="1:4">
      <c r="A99" s="85" t="s">
        <v>139</v>
      </c>
      <c r="B99" s="154" t="s">
        <v>140</v>
      </c>
      <c r="C99" s="155"/>
      <c r="D99" s="155"/>
    </row>
    <row r="100" ht="45" spans="1:4">
      <c r="A100" s="85" t="s">
        <v>139</v>
      </c>
      <c r="B100" s="156" t="s">
        <v>141</v>
      </c>
      <c r="C100" s="155" t="s">
        <v>142</v>
      </c>
      <c r="D100" s="155" t="s">
        <v>143</v>
      </c>
    </row>
    <row r="101" spans="1:4">
      <c r="A101" s="66"/>
      <c r="C101" s="66"/>
      <c r="D101" s="73"/>
    </row>
    <row r="102" spans="1:4">
      <c r="A102" s="65" t="s">
        <v>144</v>
      </c>
      <c r="B102" s="65"/>
      <c r="C102" s="65"/>
      <c r="D102" s="65"/>
    </row>
    <row r="103" spans="1:4">
      <c r="A103" s="66" t="s">
        <v>145</v>
      </c>
      <c r="B103" s="71" t="s">
        <v>146</v>
      </c>
      <c r="C103" s="66" t="s">
        <v>18</v>
      </c>
      <c r="D103" s="66" t="s">
        <v>19</v>
      </c>
    </row>
    <row r="104" spans="1:4">
      <c r="A104" s="66" t="s">
        <v>42</v>
      </c>
      <c r="B104" t="s">
        <v>147</v>
      </c>
      <c r="C104" s="66"/>
      <c r="D104" s="73"/>
    </row>
    <row r="105" spans="1:4">
      <c r="A105" s="66" t="s">
        <v>58</v>
      </c>
      <c r="C105" s="66"/>
      <c r="D105" s="73">
        <f>SUBTOTAL(109,Submódulo4.2[Valor])</f>
        <v>0</v>
      </c>
    </row>
    <row r="107" spans="1:4">
      <c r="A107" s="65" t="s">
        <v>148</v>
      </c>
      <c r="B107" s="65"/>
      <c r="C107" s="65"/>
      <c r="D107" s="65"/>
    </row>
    <row r="108" spans="1:4">
      <c r="A108" s="66" t="s">
        <v>149</v>
      </c>
      <c r="B108" s="71" t="s">
        <v>150</v>
      </c>
      <c r="C108" s="66" t="s">
        <v>18</v>
      </c>
      <c r="D108" s="66" t="s">
        <v>19</v>
      </c>
    </row>
    <row r="109" spans="1:4">
      <c r="A109" s="66" t="s">
        <v>129</v>
      </c>
      <c r="B109" t="s">
        <v>130</v>
      </c>
      <c r="D109" s="73">
        <f>Submódulo4.1[[#Totals],[Valor]]</f>
        <v>162.187758903987</v>
      </c>
    </row>
    <row r="110" spans="1:4">
      <c r="A110" s="66" t="s">
        <v>145</v>
      </c>
      <c r="B110" t="s">
        <v>151</v>
      </c>
      <c r="D110" s="73">
        <f>Submódulo4.2[[#Totals],[Valor]]</f>
        <v>0</v>
      </c>
    </row>
    <row r="111" spans="1:4">
      <c r="A111" s="66" t="s">
        <v>58</v>
      </c>
      <c r="D111" s="73">
        <f>SUBTOTAL(109,ResumoMódulo4[Valor])</f>
        <v>162.187758903987</v>
      </c>
    </row>
    <row r="113" spans="1:4">
      <c r="A113" s="49" t="s">
        <v>152</v>
      </c>
      <c r="B113" s="49"/>
      <c r="C113" s="49"/>
      <c r="D113" s="49"/>
    </row>
    <row r="114" spans="1:4">
      <c r="A114" s="66" t="s">
        <v>153</v>
      </c>
      <c r="B114" s="71" t="s">
        <v>154</v>
      </c>
      <c r="C114" s="66" t="s">
        <v>18</v>
      </c>
      <c r="D114" s="66" t="s">
        <v>19</v>
      </c>
    </row>
    <row r="115" spans="1:4">
      <c r="A115" s="66" t="s">
        <v>42</v>
      </c>
      <c r="B115" t="s">
        <v>155</v>
      </c>
      <c r="D115" s="73" t="e">
        <f>#REF!</f>
        <v>#REF!</v>
      </c>
    </row>
    <row r="116" spans="1:4">
      <c r="A116" s="66" t="s">
        <v>45</v>
      </c>
      <c r="B116" t="s">
        <v>156</v>
      </c>
      <c r="D116" s="73" t="e">
        <f>#REF!/#REF!</f>
        <v>#REF!</v>
      </c>
    </row>
    <row r="117" spans="1:4">
      <c r="A117" s="66" t="s">
        <v>48</v>
      </c>
      <c r="B117" t="s">
        <v>157</v>
      </c>
      <c r="D117" s="73" t="e">
        <f>#REF!/#REF!</f>
        <v>#REF!</v>
      </c>
    </row>
    <row r="118" spans="1:4">
      <c r="A118" s="66" t="s">
        <v>50</v>
      </c>
      <c r="B118" t="s">
        <v>158</v>
      </c>
      <c r="D118" s="73"/>
    </row>
    <row r="119" spans="1:4">
      <c r="A119" s="66" t="s">
        <v>58</v>
      </c>
      <c r="D119" s="73" t="e">
        <f>SUBTOTAL(109,Módulo5[Valor])</f>
        <v>#REF!</v>
      </c>
    </row>
    <row r="120" spans="1:4">
      <c r="A120" s="66"/>
      <c r="D120" s="73"/>
    </row>
    <row r="121" spans="1:4">
      <c r="A121" s="152" t="s">
        <v>159</v>
      </c>
      <c r="B121" s="152"/>
      <c r="C121" s="152"/>
      <c r="D121" s="152"/>
    </row>
    <row r="122" spans="1:4">
      <c r="A122" s="152" t="s">
        <v>16</v>
      </c>
      <c r="B122" s="152" t="s">
        <v>70</v>
      </c>
      <c r="C122" s="152" t="s">
        <v>71</v>
      </c>
      <c r="D122" s="152" t="s">
        <v>72</v>
      </c>
    </row>
    <row r="123" spans="1:4">
      <c r="A123" s="85" t="s">
        <v>42</v>
      </c>
      <c r="B123" s="154" t="s">
        <v>155</v>
      </c>
      <c r="C123" s="155" t="s">
        <v>160</v>
      </c>
      <c r="D123" s="155"/>
    </row>
    <row r="124" ht="30" spans="1:4">
      <c r="A124" s="85" t="s">
        <v>45</v>
      </c>
      <c r="B124" s="156" t="s">
        <v>156</v>
      </c>
      <c r="C124" s="155" t="s">
        <v>161</v>
      </c>
      <c r="D124" s="155" t="s">
        <v>162</v>
      </c>
    </row>
    <row r="125" ht="30" spans="1:4">
      <c r="A125" s="85" t="s">
        <v>48</v>
      </c>
      <c r="B125" s="156" t="s">
        <v>157</v>
      </c>
      <c r="C125" s="155" t="s">
        <v>163</v>
      </c>
      <c r="D125" s="155" t="s">
        <v>162</v>
      </c>
    </row>
    <row r="126" spans="1:4">
      <c r="A126" s="85" t="s">
        <v>50</v>
      </c>
      <c r="B126" s="156" t="s">
        <v>158</v>
      </c>
      <c r="C126" s="155"/>
      <c r="D126" s="155"/>
    </row>
    <row r="128" spans="1:4">
      <c r="A128" s="49" t="s">
        <v>164</v>
      </c>
      <c r="B128" s="49"/>
      <c r="C128" s="49"/>
      <c r="D128" s="49"/>
    </row>
    <row r="129" outlineLevel="1" spans="1:4">
      <c r="A129" s="66" t="s">
        <v>165</v>
      </c>
      <c r="B129" t="s">
        <v>166</v>
      </c>
      <c r="C129" s="66" t="s">
        <v>38</v>
      </c>
      <c r="D129" s="66" t="s">
        <v>19</v>
      </c>
    </row>
    <row r="130" outlineLevel="1" spans="1:4">
      <c r="A130" s="66" t="s">
        <v>42</v>
      </c>
      <c r="B130" t="s">
        <v>167</v>
      </c>
      <c r="C130" s="75">
        <f>G16</f>
        <v>0.0471</v>
      </c>
      <c r="D130" s="73" t="e">
        <f>Módulo6[[#This Row],[Percentual]]*(D141+D142+D143+D144+D145)</f>
        <v>#REF!</v>
      </c>
    </row>
    <row r="131" outlineLevel="1" spans="1:4">
      <c r="A131" s="66" t="s">
        <v>45</v>
      </c>
      <c r="B131" t="s">
        <v>59</v>
      </c>
      <c r="C131" s="75">
        <f>G17</f>
        <v>0.0467</v>
      </c>
      <c r="D131" s="73" t="e">
        <f>(SUM(D141:D145)+D130)*Módulo6[[#This Row],[Percentual]]</f>
        <v>#REF!</v>
      </c>
    </row>
    <row r="132" spans="1:4">
      <c r="A132" s="66" t="s">
        <v>48</v>
      </c>
      <c r="B132" t="s">
        <v>168</v>
      </c>
      <c r="C132" s="75">
        <f>SUM(C133:C135)</f>
        <v>0.1425</v>
      </c>
      <c r="D132" s="73" t="e">
        <f>Módulo6[[#This Row],[Percentual]]*D148</f>
        <v>#REF!</v>
      </c>
    </row>
    <row r="133" spans="1:4">
      <c r="A133" s="66" t="s">
        <v>169</v>
      </c>
      <c r="B133" t="s">
        <v>60</v>
      </c>
      <c r="C133" s="75">
        <f>G18</f>
        <v>0.0165</v>
      </c>
      <c r="D133" s="73" t="e">
        <f>Módulo6[[#This Row],[Percentual]]*D148</f>
        <v>#REF!</v>
      </c>
    </row>
    <row r="134" spans="1:4">
      <c r="A134" s="66" t="s">
        <v>170</v>
      </c>
      <c r="B134" t="s">
        <v>62</v>
      </c>
      <c r="C134" s="75">
        <f>G19</f>
        <v>0.076</v>
      </c>
      <c r="D134" s="73" t="e">
        <f>Módulo6[[#This Row],[Percentual]]*D148</f>
        <v>#REF!</v>
      </c>
    </row>
    <row r="135" spans="1:4">
      <c r="A135" s="66" t="s">
        <v>171</v>
      </c>
      <c r="B135" t="s">
        <v>64</v>
      </c>
      <c r="C135" s="75">
        <f>G20</f>
        <v>0.05</v>
      </c>
      <c r="D135" s="73" t="e">
        <f>Módulo6[[#This Row],[Percentual]]*D148</f>
        <v>#REF!</v>
      </c>
    </row>
    <row r="136" spans="1:4">
      <c r="A136" s="66" t="s">
        <v>58</v>
      </c>
      <c r="C136" s="125"/>
      <c r="D136" s="73" t="e">
        <f>SUM(D130:D132)</f>
        <v>#REF!</v>
      </c>
    </row>
    <row r="137" spans="1:4">
      <c r="A137" s="66"/>
      <c r="C137" s="125"/>
      <c r="D137" s="73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3">
        <f>Módulo1[[#Totals],[Valor]]</f>
        <v>998</v>
      </c>
    </row>
    <row r="142" spans="1:4">
      <c r="A142" s="66" t="s">
        <v>45</v>
      </c>
      <c r="B142" t="s">
        <v>61</v>
      </c>
      <c r="D142" s="73">
        <f>ResumoMódulo2[[#Totals],[Valor]]</f>
        <v>843.932</v>
      </c>
    </row>
    <row r="143" spans="1:4">
      <c r="A143" s="66" t="s">
        <v>48</v>
      </c>
      <c r="B143" t="s">
        <v>108</v>
      </c>
      <c r="D143" s="73">
        <f>Módulo3[[#Totals],[Valor]]</f>
        <v>157.862265311111</v>
      </c>
    </row>
    <row r="144" spans="1:4">
      <c r="A144" s="66" t="s">
        <v>50</v>
      </c>
      <c r="B144" t="s">
        <v>174</v>
      </c>
      <c r="D144" s="73">
        <f>ResumoMódulo4[[#Totals],[Valor]]</f>
        <v>162.187758903987</v>
      </c>
    </row>
    <row r="145" spans="1:4">
      <c r="A145" s="66" t="s">
        <v>53</v>
      </c>
      <c r="B145" t="s">
        <v>152</v>
      </c>
      <c r="D145" s="73" t="e">
        <f>Módulo5[[#Totals],[Valor]]</f>
        <v>#REF!</v>
      </c>
    </row>
    <row r="146" spans="1:4">
      <c r="A146" t="s">
        <v>175</v>
      </c>
      <c r="D146" s="73" t="e">
        <f>SUM(D141:D145)</f>
        <v>#REF!</v>
      </c>
    </row>
    <row r="147" spans="1:4">
      <c r="A147" s="66" t="s">
        <v>55</v>
      </c>
      <c r="B147" t="s">
        <v>164</v>
      </c>
      <c r="D147" s="73" t="e">
        <f>Módulo6[[#Totals],[Valor]]</f>
        <v>#REF!</v>
      </c>
    </row>
    <row r="148" spans="1:4">
      <c r="A148" s="127" t="s">
        <v>176</v>
      </c>
      <c r="B148" s="127"/>
      <c r="C148" s="127"/>
      <c r="D148" s="158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17" workbookViewId="0">
      <selection activeCell="G133" sqref="G133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6.447619047619" customWidth="1"/>
    <col min="7" max="7" width="15.552380952381" customWidth="1"/>
    <col min="8" max="8" width="12.8857142857143" customWidth="1"/>
    <col min="9" max="9" width="11.8857142857143" customWidth="1"/>
  </cols>
  <sheetData>
    <row r="2" ht="19.5" spans="1:4">
      <c r="A2" s="42" t="s">
        <v>177</v>
      </c>
      <c r="B2" s="42"/>
      <c r="C2" s="42"/>
      <c r="D2" s="42"/>
    </row>
    <row r="3" ht="15.75" spans="1:4">
      <c r="A3" s="43" t="s">
        <v>178</v>
      </c>
      <c r="B3" s="43"/>
      <c r="C3" s="43"/>
      <c r="D3" s="43"/>
    </row>
    <row r="4" spans="1:4">
      <c r="A4" s="44" t="s">
        <v>179</v>
      </c>
      <c r="B4" s="45" t="s">
        <v>180</v>
      </c>
      <c r="C4" s="46"/>
      <c r="D4" s="46"/>
    </row>
    <row r="5" spans="1:4">
      <c r="A5" s="47"/>
      <c r="B5" s="48"/>
      <c r="C5" s="48"/>
      <c r="D5" s="48"/>
    </row>
    <row r="6" ht="15.75" spans="1:4">
      <c r="A6" s="49" t="s">
        <v>181</v>
      </c>
      <c r="B6" s="49"/>
      <c r="C6" s="49"/>
      <c r="D6" s="49"/>
    </row>
    <row r="7" ht="15.75" spans="1:4">
      <c r="A7" s="50" t="s">
        <v>42</v>
      </c>
      <c r="B7" s="51" t="s">
        <v>182</v>
      </c>
      <c r="C7" s="52" t="s">
        <v>183</v>
      </c>
      <c r="D7" s="52"/>
    </row>
    <row r="8" spans="1:4">
      <c r="A8" s="53" t="s">
        <v>45</v>
      </c>
      <c r="B8" s="54" t="s">
        <v>184</v>
      </c>
      <c r="C8" s="55" t="s">
        <v>185</v>
      </c>
      <c r="D8" s="55"/>
    </row>
    <row r="9" spans="1:4">
      <c r="A9" s="56" t="s">
        <v>48</v>
      </c>
      <c r="B9" s="57" t="s">
        <v>186</v>
      </c>
      <c r="C9" s="55" t="s">
        <v>187</v>
      </c>
      <c r="D9" s="55"/>
    </row>
    <row r="10" spans="1:4">
      <c r="A10" s="53" t="s">
        <v>53</v>
      </c>
      <c r="B10" s="54" t="s">
        <v>188</v>
      </c>
      <c r="C10" s="55" t="s">
        <v>189</v>
      </c>
      <c r="D10" s="55"/>
    </row>
    <row r="11" ht="15.75" spans="1:4">
      <c r="A11" s="58" t="s">
        <v>190</v>
      </c>
      <c r="B11" s="58"/>
      <c r="C11" s="58"/>
      <c r="D11" s="58"/>
    </row>
    <row r="12" ht="16.5" spans="1:4">
      <c r="A12" s="59" t="s">
        <v>191</v>
      </c>
      <c r="B12" s="59"/>
      <c r="C12" s="58" t="s">
        <v>192</v>
      </c>
      <c r="D12" s="60" t="s">
        <v>193</v>
      </c>
    </row>
    <row r="13" ht="15.75" spans="1:4">
      <c r="A13" s="61" t="s">
        <v>194</v>
      </c>
      <c r="B13" s="61"/>
      <c r="C13" s="55" t="s">
        <v>195</v>
      </c>
      <c r="D13" s="62">
        <f>RESUMO!D3</f>
        <v>2</v>
      </c>
    </row>
    <row r="14" spans="1:4">
      <c r="A14" s="63"/>
      <c r="B14" s="63"/>
      <c r="C14" s="55"/>
      <c r="D14" s="64"/>
    </row>
    <row r="15" ht="15.75" spans="1:7">
      <c r="A15" s="58" t="s">
        <v>14</v>
      </c>
      <c r="B15" s="58"/>
      <c r="C15" s="58"/>
      <c r="D15" s="58"/>
      <c r="F15" s="65"/>
      <c r="G15" s="65"/>
    </row>
    <row r="16" ht="15.75" spans="1:4">
      <c r="A16" s="66" t="s">
        <v>16</v>
      </c>
      <c r="B16" t="s">
        <v>17</v>
      </c>
      <c r="C16" s="66" t="s">
        <v>18</v>
      </c>
      <c r="D16" s="66" t="s">
        <v>19</v>
      </c>
    </row>
    <row r="17" spans="1:4">
      <c r="A17" s="66">
        <v>1</v>
      </c>
      <c r="B17" t="s">
        <v>20</v>
      </c>
      <c r="C17" s="67" t="s">
        <v>102</v>
      </c>
      <c r="D17" s="67" t="str">
        <f>A13</f>
        <v>Recepcionista Secretário(a)</v>
      </c>
    </row>
    <row r="18" spans="1:4">
      <c r="A18" s="66">
        <v>2</v>
      </c>
      <c r="B18" t="s">
        <v>23</v>
      </c>
      <c r="C18" s="67" t="s">
        <v>196</v>
      </c>
      <c r="D18" s="67" t="s">
        <v>197</v>
      </c>
    </row>
    <row r="19" spans="1:4">
      <c r="A19" s="66">
        <v>3</v>
      </c>
      <c r="B19" t="s">
        <v>26</v>
      </c>
      <c r="C19" s="67" t="str">
        <f>C9</f>
        <v>CCT PB000144/2024</v>
      </c>
      <c r="D19" s="68">
        <v>1452.1</v>
      </c>
    </row>
    <row r="20" spans="1:4">
      <c r="A20" s="66">
        <v>4</v>
      </c>
      <c r="B20" t="s">
        <v>29</v>
      </c>
      <c r="C20" s="67" t="str">
        <f>C9</f>
        <v>CCT PB000144/2024</v>
      </c>
      <c r="D20" s="69" t="s">
        <v>198</v>
      </c>
    </row>
    <row r="21" spans="1:4">
      <c r="A21" s="66">
        <v>5</v>
      </c>
      <c r="B21" t="s">
        <v>33</v>
      </c>
      <c r="C21" s="67" t="str">
        <f>C9</f>
        <v>CCT PB000144/2024</v>
      </c>
      <c r="D21" s="70" t="s">
        <v>199</v>
      </c>
    </row>
    <row r="22" spans="6:7">
      <c r="F22" s="65"/>
      <c r="G22" s="65"/>
    </row>
    <row r="23" spans="1:4">
      <c r="A23" s="49" t="s">
        <v>36</v>
      </c>
      <c r="B23" s="49"/>
      <c r="C23" s="49"/>
      <c r="D23" s="49"/>
    </row>
    <row r="24" spans="1:7">
      <c r="A24" s="66" t="s">
        <v>39</v>
      </c>
      <c r="B24" s="71" t="s">
        <v>40</v>
      </c>
      <c r="C24" s="66" t="s">
        <v>18</v>
      </c>
      <c r="D24" s="66" t="s">
        <v>19</v>
      </c>
      <c r="G24" s="72"/>
    </row>
    <row r="25" spans="1:7">
      <c r="A25" s="66" t="s">
        <v>42</v>
      </c>
      <c r="B25" t="s">
        <v>43</v>
      </c>
      <c r="C25" s="69" t="s">
        <v>200</v>
      </c>
      <c r="D25" s="68">
        <f>D19</f>
        <v>1452.1</v>
      </c>
      <c r="G25" s="72"/>
    </row>
    <row r="26" spans="1:7">
      <c r="A26" s="66" t="s">
        <v>45</v>
      </c>
      <c r="B26" t="s">
        <v>46</v>
      </c>
      <c r="C26" s="69"/>
      <c r="D26" s="68">
        <v>0</v>
      </c>
      <c r="G26" s="72"/>
    </row>
    <row r="27" spans="1:4">
      <c r="A27" s="66" t="s">
        <v>48</v>
      </c>
      <c r="B27" t="s">
        <v>49</v>
      </c>
      <c r="C27" s="69"/>
      <c r="D27" s="68">
        <v>0</v>
      </c>
    </row>
    <row r="28" spans="1:4">
      <c r="A28" s="66" t="s">
        <v>50</v>
      </c>
      <c r="B28" t="s">
        <v>51</v>
      </c>
      <c r="C28" s="69"/>
      <c r="D28" s="68">
        <v>0</v>
      </c>
    </row>
    <row r="29" spans="1:4">
      <c r="A29" s="66" t="s">
        <v>53</v>
      </c>
      <c r="B29" t="s">
        <v>54</v>
      </c>
      <c r="C29" s="69"/>
      <c r="D29" s="68">
        <v>0</v>
      </c>
    </row>
    <row r="30" spans="1:4">
      <c r="A30" s="66" t="s">
        <v>55</v>
      </c>
      <c r="B30" t="s">
        <v>56</v>
      </c>
      <c r="C30" s="69"/>
      <c r="D30" s="68">
        <v>0</v>
      </c>
    </row>
    <row r="31" spans="1:7">
      <c r="A31" s="66" t="s">
        <v>58</v>
      </c>
      <c r="C31" s="66"/>
      <c r="D31" s="73">
        <f>TRUNC((SUM(D25:D30)),2)</f>
        <v>1452.1</v>
      </c>
      <c r="F31" s="65"/>
      <c r="G31" s="65"/>
    </row>
    <row r="33" spans="1:7">
      <c r="A33" s="74" t="s">
        <v>61</v>
      </c>
      <c r="B33" s="74"/>
      <c r="C33" s="74"/>
      <c r="D33" s="74"/>
      <c r="G33" s="72"/>
    </row>
    <row r="35" spans="1:4">
      <c r="A35" s="65" t="s">
        <v>63</v>
      </c>
      <c r="B35" s="65"/>
      <c r="C35" s="65"/>
      <c r="D35" s="65"/>
    </row>
    <row r="36" spans="1:4">
      <c r="A36" s="66" t="s">
        <v>65</v>
      </c>
      <c r="B36" s="71" t="s">
        <v>66</v>
      </c>
      <c r="C36" s="66" t="s">
        <v>38</v>
      </c>
      <c r="D36" s="66" t="s">
        <v>19</v>
      </c>
    </row>
    <row r="37" spans="1:7">
      <c r="A37" s="66" t="s">
        <v>42</v>
      </c>
      <c r="B37" t="s">
        <v>67</v>
      </c>
      <c r="C37" s="75">
        <f>(1/12)</f>
        <v>0.0833333333333333</v>
      </c>
      <c r="D37" s="73">
        <f>TRUNC($D$31*C37,2)</f>
        <v>121</v>
      </c>
      <c r="F37" s="76"/>
      <c r="G37" s="76"/>
    </row>
    <row r="38" spans="1:7">
      <c r="A38" s="66" t="s">
        <v>45</v>
      </c>
      <c r="B38" t="s">
        <v>68</v>
      </c>
      <c r="C38" s="75">
        <f>(((1+1/3)/12))</f>
        <v>0.111111111111111</v>
      </c>
      <c r="D38" s="73">
        <f>TRUNC($D$31*C38,2)</f>
        <v>161.34</v>
      </c>
      <c r="F38" s="76"/>
      <c r="G38" s="76"/>
    </row>
    <row r="39" spans="1:7">
      <c r="A39" s="66" t="s">
        <v>58</v>
      </c>
      <c r="D39" s="73">
        <f>TRUNC((SUM(D37:D38)),2)</f>
        <v>282.34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1452.1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282.34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1734.44</v>
      </c>
      <c r="F43" s="76"/>
      <c r="G43" s="76"/>
    </row>
    <row r="44" ht="15.75" spans="1:7">
      <c r="A44" s="66"/>
      <c r="C44" s="82"/>
      <c r="D44" s="73"/>
      <c r="F44" s="76"/>
      <c r="G44" s="76"/>
    </row>
    <row r="45" spans="1:4">
      <c r="A45" s="65" t="s">
        <v>77</v>
      </c>
      <c r="B45" s="65"/>
      <c r="C45" s="65"/>
      <c r="D45" s="65"/>
    </row>
    <row r="46" spans="1:4">
      <c r="A46" s="66" t="s">
        <v>78</v>
      </c>
      <c r="B46" s="71" t="s">
        <v>79</v>
      </c>
      <c r="C46" s="66" t="s">
        <v>38</v>
      </c>
      <c r="D46" s="66" t="s">
        <v>80</v>
      </c>
    </row>
    <row r="47" spans="1:4">
      <c r="A47" s="66" t="s">
        <v>42</v>
      </c>
      <c r="B47" t="s">
        <v>81</v>
      </c>
      <c r="C47" s="75">
        <v>0.2</v>
      </c>
      <c r="D47" s="73">
        <f t="shared" ref="D47:D54" si="0">TRUNC(($D$43*C47),2)</f>
        <v>346.88</v>
      </c>
    </row>
    <row r="48" spans="1:4">
      <c r="A48" s="66" t="s">
        <v>45</v>
      </c>
      <c r="B48" t="s">
        <v>82</v>
      </c>
      <c r="C48" s="75">
        <v>0.025</v>
      </c>
      <c r="D48" s="73">
        <f t="shared" si="0"/>
        <v>43.36</v>
      </c>
    </row>
    <row r="49" spans="1:4">
      <c r="A49" s="66" t="s">
        <v>48</v>
      </c>
      <c r="B49" t="s">
        <v>205</v>
      </c>
      <c r="C49" s="132">
        <v>0.06</v>
      </c>
      <c r="D49" s="68">
        <f t="shared" si="0"/>
        <v>104.06</v>
      </c>
    </row>
    <row r="50" spans="1:4">
      <c r="A50" s="66" t="s">
        <v>50</v>
      </c>
      <c r="B50" t="s">
        <v>84</v>
      </c>
      <c r="C50" s="75">
        <v>0.015</v>
      </c>
      <c r="D50" s="73">
        <f t="shared" si="0"/>
        <v>26.01</v>
      </c>
    </row>
    <row r="51" spans="1:4">
      <c r="A51" s="66" t="s">
        <v>53</v>
      </c>
      <c r="B51" t="s">
        <v>85</v>
      </c>
      <c r="C51" s="75">
        <v>0.01</v>
      </c>
      <c r="D51" s="73">
        <f t="shared" si="0"/>
        <v>17.34</v>
      </c>
    </row>
    <row r="52" spans="1:4">
      <c r="A52" s="66" t="s">
        <v>55</v>
      </c>
      <c r="B52" t="s">
        <v>86</v>
      </c>
      <c r="C52" s="75">
        <v>0.006</v>
      </c>
      <c r="D52" s="73">
        <f t="shared" si="0"/>
        <v>10.4</v>
      </c>
    </row>
    <row r="53" spans="1:4">
      <c r="A53" s="66" t="s">
        <v>87</v>
      </c>
      <c r="B53" t="s">
        <v>88</v>
      </c>
      <c r="C53" s="75">
        <v>0.002</v>
      </c>
      <c r="D53" s="73">
        <f t="shared" si="0"/>
        <v>3.46</v>
      </c>
    </row>
    <row r="54" spans="1:4">
      <c r="A54" s="66" t="s">
        <v>89</v>
      </c>
      <c r="B54" t="s">
        <v>90</v>
      </c>
      <c r="C54" s="75">
        <v>0.08</v>
      </c>
      <c r="D54" s="73">
        <f t="shared" si="0"/>
        <v>138.75</v>
      </c>
    </row>
    <row r="55" spans="1:4">
      <c r="A55" s="66" t="s">
        <v>58</v>
      </c>
      <c r="C55" s="82">
        <f>SUM(C47:C54)</f>
        <v>0.398</v>
      </c>
      <c r="D55" s="73">
        <f>TRUNC(SUM(D47:D54),2)</f>
        <v>690.26</v>
      </c>
    </row>
    <row r="56" spans="1:4">
      <c r="A56" s="66"/>
      <c r="C56" s="82"/>
      <c r="D56" s="73"/>
    </row>
    <row r="57" spans="1:4">
      <c r="A57" s="65" t="s">
        <v>95</v>
      </c>
      <c r="B57" s="65"/>
      <c r="C57" s="65"/>
      <c r="D57" s="65"/>
    </row>
    <row r="58" spans="1:4">
      <c r="A58" s="66" t="s">
        <v>96</v>
      </c>
      <c r="B58" s="71" t="s">
        <v>97</v>
      </c>
      <c r="C58" s="66" t="s">
        <v>18</v>
      </c>
      <c r="D58" s="66" t="s">
        <v>19</v>
      </c>
    </row>
    <row r="59" spans="1:4">
      <c r="A59" s="66" t="s">
        <v>42</v>
      </c>
      <c r="B59" t="s">
        <v>98</v>
      </c>
      <c r="C59" s="67"/>
      <c r="D59" s="84">
        <v>0</v>
      </c>
    </row>
    <row r="60" spans="1:4">
      <c r="A60" s="66" t="s">
        <v>45</v>
      </c>
      <c r="B60" t="s">
        <v>99</v>
      </c>
      <c r="C60" s="67" t="str">
        <f>C9</f>
        <v>CCT PB000144/2024</v>
      </c>
      <c r="D60" s="68">
        <f>TRUNC((((550))-(((550))*0.2)),2)</f>
        <v>440</v>
      </c>
    </row>
    <row r="61" spans="1:4">
      <c r="A61" s="66" t="s">
        <v>48</v>
      </c>
      <c r="B61" t="s">
        <v>100</v>
      </c>
      <c r="C61" s="67"/>
      <c r="D61" s="68">
        <v>0</v>
      </c>
    </row>
    <row r="62" spans="1:6">
      <c r="A62" s="85" t="s">
        <v>50</v>
      </c>
      <c r="B62" s="86" t="s">
        <v>206</v>
      </c>
      <c r="C62" s="87"/>
      <c r="D62" s="87">
        <v>0</v>
      </c>
      <c r="F62" s="86"/>
    </row>
    <row r="63" spans="1:4">
      <c r="A63" s="85" t="s">
        <v>53</v>
      </c>
      <c r="B63" s="71" t="s">
        <v>207</v>
      </c>
      <c r="C63" s="67" t="str">
        <f>C9</f>
        <v>CCT PB000144/2024</v>
      </c>
      <c r="D63" s="68">
        <v>22</v>
      </c>
    </row>
    <row r="64" spans="1:4">
      <c r="A64" s="85" t="s">
        <v>55</v>
      </c>
      <c r="B64" s="88" t="s">
        <v>208</v>
      </c>
      <c r="C64" s="67" t="str">
        <f>C9</f>
        <v>CCT PB000144/2024</v>
      </c>
      <c r="D64" s="68">
        <v>6</v>
      </c>
    </row>
    <row r="65" spans="1:4">
      <c r="A65" s="85" t="s">
        <v>87</v>
      </c>
      <c r="B65" s="88" t="s">
        <v>209</v>
      </c>
      <c r="C65" s="87" t="str">
        <f>C9</f>
        <v>CCT PB000144/2024</v>
      </c>
      <c r="D65" s="68">
        <v>44</v>
      </c>
    </row>
    <row r="66" spans="1:4">
      <c r="A66" s="66" t="s">
        <v>58</v>
      </c>
      <c r="D66" s="73">
        <f>TRUNC((SUM(D59:D65)),2)</f>
        <v>512</v>
      </c>
    </row>
    <row r="67" spans="1:4">
      <c r="A67" s="66"/>
      <c r="D67" s="73"/>
    </row>
    <row r="68" spans="1:4">
      <c r="A68" s="65" t="s">
        <v>105</v>
      </c>
      <c r="B68" s="65"/>
      <c r="C68" s="65"/>
      <c r="D68" s="65"/>
    </row>
    <row r="69" spans="1:4">
      <c r="A69" s="66" t="s">
        <v>106</v>
      </c>
      <c r="B69" s="71" t="s">
        <v>107</v>
      </c>
      <c r="C69" s="66" t="s">
        <v>18</v>
      </c>
      <c r="D69" s="66" t="s">
        <v>19</v>
      </c>
    </row>
    <row r="70" spans="1:4">
      <c r="A70" s="66" t="s">
        <v>65</v>
      </c>
      <c r="B70" t="s">
        <v>66</v>
      </c>
      <c r="C70" s="66"/>
      <c r="D70" s="73">
        <f>D39</f>
        <v>282.34</v>
      </c>
    </row>
    <row r="71" spans="1:4">
      <c r="A71" s="66" t="s">
        <v>78</v>
      </c>
      <c r="B71" t="s">
        <v>79</v>
      </c>
      <c r="C71" s="66"/>
      <c r="D71" s="73">
        <f>D55</f>
        <v>690.26</v>
      </c>
    </row>
    <row r="72" spans="1:4">
      <c r="A72" s="66" t="s">
        <v>96</v>
      </c>
      <c r="B72" t="s">
        <v>97</v>
      </c>
      <c r="C72" s="66"/>
      <c r="D72" s="73">
        <f>D66</f>
        <v>512</v>
      </c>
    </row>
    <row r="73" spans="1:4">
      <c r="A73" s="66" t="s">
        <v>58</v>
      </c>
      <c r="C73" s="66"/>
      <c r="D73" s="73">
        <f>TRUNC((SUM(D70:D72)),2)</f>
        <v>1484.6</v>
      </c>
    </row>
    <row r="75" spans="1:4">
      <c r="A75" s="49" t="s">
        <v>108</v>
      </c>
      <c r="B75" s="49"/>
      <c r="C75" s="49"/>
      <c r="D75" s="49"/>
    </row>
    <row r="76" spans="1:4">
      <c r="A76" s="66" t="s">
        <v>109</v>
      </c>
      <c r="B76" s="71" t="s">
        <v>110</v>
      </c>
      <c r="C76" s="66" t="s">
        <v>38</v>
      </c>
      <c r="D76" s="66" t="s">
        <v>19</v>
      </c>
    </row>
    <row r="77" spans="1:4">
      <c r="A77" s="66" t="s">
        <v>42</v>
      </c>
      <c r="B77" t="s">
        <v>111</v>
      </c>
      <c r="C77" s="89">
        <f>((1/12)*2%)</f>
        <v>0.00166666666666667</v>
      </c>
      <c r="D77" s="68">
        <f>TRUNC(($D$31*C77),2)</f>
        <v>2.42</v>
      </c>
    </row>
    <row r="78" spans="1:4">
      <c r="A78" s="66" t="s">
        <v>45</v>
      </c>
      <c r="B78" t="s">
        <v>112</v>
      </c>
      <c r="C78" s="90">
        <v>0.08</v>
      </c>
      <c r="D78" s="73">
        <f>TRUNC(($D$77*C78),2)</f>
        <v>0.19</v>
      </c>
    </row>
    <row r="79" ht="30" spans="1:4">
      <c r="A79" s="66" t="s">
        <v>48</v>
      </c>
      <c r="B79" s="91" t="s">
        <v>113</v>
      </c>
      <c r="C79" s="83">
        <f>(0.08*0.4*0.02)</f>
        <v>0.00064</v>
      </c>
      <c r="D79" s="87">
        <f>TRUNC(($D$31*C79),2)</f>
        <v>0.92</v>
      </c>
    </row>
    <row r="80" spans="1:4">
      <c r="A80" s="66" t="s">
        <v>50</v>
      </c>
      <c r="B80" t="s">
        <v>114</v>
      </c>
      <c r="C80" s="92">
        <f>(((7/30)/12)*0.98)</f>
        <v>0.0190555555555556</v>
      </c>
      <c r="D80" s="93">
        <f>TRUNC(($D$31*C80),2)</f>
        <v>27.67</v>
      </c>
    </row>
    <row r="81" ht="30" spans="1:4">
      <c r="A81" s="66" t="s">
        <v>53</v>
      </c>
      <c r="B81" s="91" t="s">
        <v>210</v>
      </c>
      <c r="C81" s="83">
        <f>C55</f>
        <v>0.398</v>
      </c>
      <c r="D81" s="87">
        <f>TRUNC(($D$80*C81),2)</f>
        <v>11.01</v>
      </c>
    </row>
    <row r="82" ht="30" spans="1:4">
      <c r="A82" s="66" t="s">
        <v>55</v>
      </c>
      <c r="B82" s="91" t="s">
        <v>115</v>
      </c>
      <c r="C82" s="92">
        <f>(0.08*0.4*0.98)</f>
        <v>0.03136</v>
      </c>
      <c r="D82" s="94">
        <f>TRUNC(($D$31*C82),2)</f>
        <v>45.53</v>
      </c>
    </row>
    <row r="83" spans="1:4">
      <c r="A83" s="66" t="s">
        <v>58</v>
      </c>
      <c r="C83" s="90">
        <f>SUM(C77:C82)</f>
        <v>0.530722222222222</v>
      </c>
      <c r="D83" s="73">
        <f>TRUNC((SUM(D77:D82)),2)</f>
        <v>87.74</v>
      </c>
    </row>
    <row r="84" ht="15.75" spans="1:4">
      <c r="A84" s="66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1452.1</v>
      </c>
    </row>
    <row r="86" ht="16.5" spans="1:4">
      <c r="A86" s="77"/>
      <c r="B86" s="77"/>
      <c r="C86" s="80" t="s">
        <v>212</v>
      </c>
      <c r="D86" s="79">
        <f>D73</f>
        <v>1484.6</v>
      </c>
    </row>
    <row r="87" ht="16.5" spans="1:4">
      <c r="A87" s="77"/>
      <c r="B87" s="77"/>
      <c r="C87" s="78" t="s">
        <v>213</v>
      </c>
      <c r="D87" s="79">
        <f>D83</f>
        <v>87.74</v>
      </c>
    </row>
    <row r="88" ht="16.5" spans="1:4">
      <c r="A88" s="77"/>
      <c r="B88" s="77"/>
      <c r="C88" s="80" t="s">
        <v>204</v>
      </c>
      <c r="D88" s="81">
        <f>TRUNC((SUM(D85:D87)),2)</f>
        <v>3024.44</v>
      </c>
    </row>
    <row r="89" ht="15.75" spans="1:4">
      <c r="A89" s="66"/>
      <c r="D89" s="73"/>
    </row>
    <row r="90" spans="1:4">
      <c r="A90" s="95" t="s">
        <v>127</v>
      </c>
      <c r="B90" s="95"/>
      <c r="C90" s="95"/>
      <c r="D90" s="95"/>
    </row>
    <row r="91" spans="1:4">
      <c r="A91" s="65" t="s">
        <v>128</v>
      </c>
      <c r="B91" s="65"/>
      <c r="C91" s="65"/>
      <c r="D91" s="65"/>
    </row>
    <row r="92" spans="1:4">
      <c r="A92" s="66" t="s">
        <v>129</v>
      </c>
      <c r="B92" s="71" t="s">
        <v>130</v>
      </c>
      <c r="C92" s="66" t="s">
        <v>38</v>
      </c>
      <c r="D92" s="66" t="s">
        <v>19</v>
      </c>
    </row>
    <row r="93" spans="1:4">
      <c r="A93" s="66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49</v>
      </c>
    </row>
    <row r="94" spans="1:4">
      <c r="A94" s="66" t="s">
        <v>45</v>
      </c>
      <c r="B94" t="s">
        <v>133</v>
      </c>
      <c r="C94" s="89">
        <f>((5/30)/12)</f>
        <v>0.0138888888888889</v>
      </c>
      <c r="D94" s="87">
        <f t="shared" ref="D93:D97" si="1">TRUNC(($D$88*C94),2)</f>
        <v>42</v>
      </c>
    </row>
    <row r="95" spans="1:4">
      <c r="A95" s="66" t="s">
        <v>48</v>
      </c>
      <c r="B95" t="s">
        <v>134</v>
      </c>
      <c r="C95" s="89">
        <f>((5/30)/12)*0.02</f>
        <v>0.000277777777777778</v>
      </c>
      <c r="D95" s="87">
        <f t="shared" si="1"/>
        <v>0.84</v>
      </c>
    </row>
    <row r="96" ht="30" spans="1:4">
      <c r="A96" s="85" t="s">
        <v>50</v>
      </c>
      <c r="B96" s="91" t="s">
        <v>135</v>
      </c>
      <c r="C96" s="83">
        <f>((15/30)/12)*0.08</f>
        <v>0.00333333333333333</v>
      </c>
      <c r="D96" s="87">
        <f t="shared" si="1"/>
        <v>10.08</v>
      </c>
    </row>
    <row r="97" spans="1:4">
      <c r="A97" s="66" t="s">
        <v>53</v>
      </c>
      <c r="B97" t="s">
        <v>136</v>
      </c>
      <c r="C97" s="89">
        <f>((1+1/3)/12)*0.03*((4/12))</f>
        <v>0.00111111111111111</v>
      </c>
      <c r="D97" s="87">
        <f t="shared" si="1"/>
        <v>3.36</v>
      </c>
    </row>
    <row r="98" ht="30" spans="1:4">
      <c r="A98" s="66" t="s">
        <v>55</v>
      </c>
      <c r="B98" s="91" t="s">
        <v>215</v>
      </c>
      <c r="C98" s="96">
        <v>0</v>
      </c>
      <c r="D98" s="87">
        <f>TRUNC($D$88*C98)</f>
        <v>0</v>
      </c>
    </row>
    <row r="99" spans="1:4">
      <c r="A99" s="66" t="s">
        <v>58</v>
      </c>
      <c r="C99" s="90">
        <f>SUM(C93:C98)</f>
        <v>0.0348148148148148</v>
      </c>
      <c r="D99" s="73">
        <f>TRUNC((SUM(D93:D98)),2)</f>
        <v>105.28</v>
      </c>
    </row>
    <row r="100" spans="1:4">
      <c r="A100" s="66"/>
      <c r="C100" s="66"/>
      <c r="D100" s="73"/>
    </row>
    <row r="101" spans="1:4">
      <c r="A101" s="65" t="s">
        <v>144</v>
      </c>
      <c r="B101" s="65"/>
      <c r="C101" s="65"/>
      <c r="D101" s="65"/>
    </row>
    <row r="102" spans="1:4">
      <c r="A102" s="66" t="s">
        <v>145</v>
      </c>
      <c r="B102" s="71" t="s">
        <v>146</v>
      </c>
      <c r="C102" s="66" t="s">
        <v>18</v>
      </c>
      <c r="D102" s="66" t="s">
        <v>19</v>
      </c>
    </row>
    <row r="103" ht="105" spans="1:4">
      <c r="A103" s="85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6" t="s">
        <v>58</v>
      </c>
      <c r="C104" s="100"/>
      <c r="D104" s="101" t="str">
        <f>D103</f>
        <v>*=TRUNCAR(($D$86/220)*(1*(365/12))/2)</v>
      </c>
    </row>
    <row r="106" spans="1:4">
      <c r="A106" s="65" t="s">
        <v>148</v>
      </c>
      <c r="B106" s="65"/>
      <c r="C106" s="65"/>
      <c r="D106" s="65"/>
    </row>
    <row r="107" spans="1:4">
      <c r="A107" s="66" t="s">
        <v>149</v>
      </c>
      <c r="B107" s="71" t="s">
        <v>150</v>
      </c>
      <c r="C107" s="66" t="s">
        <v>18</v>
      </c>
      <c r="D107" s="66" t="s">
        <v>19</v>
      </c>
    </row>
    <row r="108" spans="1:4">
      <c r="A108" s="66" t="s">
        <v>129</v>
      </c>
      <c r="B108" t="s">
        <v>130</v>
      </c>
      <c r="D108" s="68">
        <f>D99</f>
        <v>105.28</v>
      </c>
    </row>
    <row r="109" spans="1:4">
      <c r="A109" s="66" t="s">
        <v>145</v>
      </c>
      <c r="B109" t="s">
        <v>151</v>
      </c>
      <c r="C109" s="71"/>
      <c r="D109" s="102" t="str">
        <f>Submódulo4.260_55107[[#Totals],[Valor]]</f>
        <v>*=TRUNCAR(($D$86/220)*(1*(365/12))/2)</v>
      </c>
    </row>
    <row r="110" ht="75" spans="1:4">
      <c r="A110" s="85" t="s">
        <v>58</v>
      </c>
      <c r="B110" s="86"/>
      <c r="C110" s="98" t="s">
        <v>218</v>
      </c>
      <c r="D110" s="103">
        <f>TRUNC((SUM(D108:D109)),2)</f>
        <v>105.28</v>
      </c>
    </row>
    <row r="112" spans="1:4">
      <c r="A112" s="49" t="s">
        <v>152</v>
      </c>
      <c r="B112" s="49"/>
      <c r="C112" s="49"/>
      <c r="D112" s="49"/>
    </row>
    <row r="113" spans="1:4">
      <c r="A113" s="85" t="s">
        <v>153</v>
      </c>
      <c r="B113" s="86" t="s">
        <v>154</v>
      </c>
      <c r="C113" s="85" t="s">
        <v>18</v>
      </c>
      <c r="D113" s="85" t="s">
        <v>19</v>
      </c>
    </row>
    <row r="114" spans="1:4">
      <c r="A114" s="66" t="s">
        <v>42</v>
      </c>
      <c r="B114" t="s">
        <v>219</v>
      </c>
      <c r="D114" s="143">
        <f>Uniformes!G12</f>
        <v>143.14</v>
      </c>
    </row>
    <row r="115" spans="1:4">
      <c r="A115" s="66" t="s">
        <v>45</v>
      </c>
      <c r="B115" t="s">
        <v>220</v>
      </c>
      <c r="D115" s="143">
        <v>0</v>
      </c>
    </row>
    <row r="116" spans="1:4">
      <c r="A116" s="66" t="s">
        <v>48</v>
      </c>
      <c r="B116" t="s">
        <v>156</v>
      </c>
      <c r="D116" s="143">
        <v>0</v>
      </c>
    </row>
    <row r="117" spans="1:4">
      <c r="A117" s="66" t="s">
        <v>50</v>
      </c>
      <c r="B117" t="s">
        <v>157</v>
      </c>
      <c r="D117" s="143">
        <v>0</v>
      </c>
    </row>
    <row r="118" spans="1:4">
      <c r="A118" s="66" t="s">
        <v>53</v>
      </c>
      <c r="B118" t="s">
        <v>221</v>
      </c>
      <c r="C118" s="66"/>
      <c r="D118" s="144">
        <v>0</v>
      </c>
    </row>
    <row r="119" spans="1:4">
      <c r="A119" s="66" t="s">
        <v>58</v>
      </c>
      <c r="D119" s="117">
        <f>TRUNC(SUM(D114:D118),2)</f>
        <v>143.14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1452.1</v>
      </c>
    </row>
    <row r="122" ht="16.5" spans="1:4">
      <c r="A122" s="77"/>
      <c r="B122" s="77"/>
      <c r="C122" s="80" t="s">
        <v>212</v>
      </c>
      <c r="D122" s="79">
        <f>D73</f>
        <v>1484.6</v>
      </c>
    </row>
    <row r="123" ht="16.5" spans="1:4">
      <c r="A123" s="77"/>
      <c r="B123" s="77"/>
      <c r="C123" s="78" t="s">
        <v>213</v>
      </c>
      <c r="D123" s="79">
        <f>D83</f>
        <v>87.74</v>
      </c>
    </row>
    <row r="124" ht="16.5" spans="1:4">
      <c r="A124" s="77"/>
      <c r="B124" s="77"/>
      <c r="C124" s="80" t="s">
        <v>223</v>
      </c>
      <c r="D124" s="79">
        <f>D110</f>
        <v>105.28</v>
      </c>
    </row>
    <row r="125" ht="16.5" spans="1:4">
      <c r="A125" s="77"/>
      <c r="B125" s="77"/>
      <c r="C125" s="78" t="s">
        <v>224</v>
      </c>
      <c r="D125" s="79">
        <f>D119</f>
        <v>143.14</v>
      </c>
    </row>
    <row r="126" ht="16.5" spans="1:4">
      <c r="A126" s="77"/>
      <c r="B126" s="77"/>
      <c r="C126" s="80" t="s">
        <v>204</v>
      </c>
      <c r="D126" s="81">
        <f>TRUNC((SUM(D121:D125)),2)</f>
        <v>3272.86</v>
      </c>
    </row>
    <row r="127" ht="15.75"/>
    <row r="128" ht="15.75" spans="1:7">
      <c r="A128" s="49" t="s">
        <v>164</v>
      </c>
      <c r="B128" s="49"/>
      <c r="C128" s="49"/>
      <c r="D128" s="49"/>
      <c r="F128" s="104" t="s">
        <v>225</v>
      </c>
      <c r="G128" s="104"/>
    </row>
    <row r="129" ht="15.75" spans="1:7">
      <c r="A129" s="66" t="s">
        <v>165</v>
      </c>
      <c r="B129" t="s">
        <v>166</v>
      </c>
      <c r="C129" s="66" t="s">
        <v>38</v>
      </c>
      <c r="D129" s="66" t="s">
        <v>19</v>
      </c>
      <c r="F129" s="119" t="s">
        <v>226</v>
      </c>
      <c r="G129" s="120">
        <f>(C132*100)</f>
        <v>14.25</v>
      </c>
    </row>
    <row r="130" ht="15.75" spans="1:7">
      <c r="A130" s="66" t="s">
        <v>42</v>
      </c>
      <c r="B130" t="s">
        <v>167</v>
      </c>
      <c r="C130" s="89">
        <v>0.03</v>
      </c>
      <c r="D130" s="116">
        <f>TRUNC(($D$126*C130),2)</f>
        <v>98.18</v>
      </c>
      <c r="F130" s="121" t="s">
        <v>227</v>
      </c>
      <c r="G130" s="122">
        <f>TRUNC(SUM(D126,D130,D131),2)</f>
        <v>3438.46</v>
      </c>
    </row>
    <row r="131" ht="15.75" spans="1:7">
      <c r="A131" s="66" t="s">
        <v>45</v>
      </c>
      <c r="B131" t="s">
        <v>59</v>
      </c>
      <c r="C131" s="89">
        <v>0.02</v>
      </c>
      <c r="D131" s="116">
        <f>TRUNC((C131*(D126+D130)),2)</f>
        <v>67.42</v>
      </c>
      <c r="F131" s="119" t="s">
        <v>228</v>
      </c>
      <c r="G131" s="123">
        <f>((100-G129)/100)</f>
        <v>0.8575</v>
      </c>
    </row>
    <row r="132" ht="15.75" spans="1:7">
      <c r="A132" s="66" t="s">
        <v>48</v>
      </c>
      <c r="B132" t="s">
        <v>168</v>
      </c>
      <c r="C132" s="89">
        <f>SUM(C133:C135)</f>
        <v>0.1425</v>
      </c>
      <c r="D132" s="68">
        <f>TRUNC(SUM(D133:D135),2)</f>
        <v>571.39</v>
      </c>
      <c r="F132" s="121" t="s">
        <v>225</v>
      </c>
      <c r="G132" s="122">
        <f>TRUNC((G130/G131),2)</f>
        <v>4009.86</v>
      </c>
    </row>
    <row r="133" ht="15.75" spans="1:4">
      <c r="A133" s="66"/>
      <c r="B133" t="s">
        <v>229</v>
      </c>
      <c r="C133" s="89">
        <v>0.0165</v>
      </c>
      <c r="D133" s="68">
        <f t="shared" ref="D133:D135" si="2">TRUNC(($G$132*C133),2)</f>
        <v>66.16</v>
      </c>
    </row>
    <row r="134" spans="1:4">
      <c r="A134" s="66"/>
      <c r="B134" t="s">
        <v>230</v>
      </c>
      <c r="C134" s="89">
        <v>0.076</v>
      </c>
      <c r="D134" s="68">
        <f t="shared" si="2"/>
        <v>304.74</v>
      </c>
    </row>
    <row r="135" spans="1:4">
      <c r="A135" s="66"/>
      <c r="B135" t="s">
        <v>231</v>
      </c>
      <c r="C135" s="89">
        <v>0.05</v>
      </c>
      <c r="D135" s="68">
        <f t="shared" si="2"/>
        <v>200.49</v>
      </c>
    </row>
    <row r="136" spans="1:4">
      <c r="A136" s="66" t="s">
        <v>58</v>
      </c>
      <c r="B136" s="124"/>
      <c r="C136" s="125"/>
      <c r="D136" s="73">
        <f>TRUNC(SUM(D130:D132),2)</f>
        <v>736.99</v>
      </c>
    </row>
    <row r="137" spans="1:4">
      <c r="A137" s="66"/>
      <c r="C137" s="125"/>
      <c r="D137" s="73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3">
        <f>D31</f>
        <v>1452.1</v>
      </c>
    </row>
    <row r="142" spans="1:4">
      <c r="A142" s="66" t="s">
        <v>45</v>
      </c>
      <c r="B142" t="s">
        <v>61</v>
      </c>
      <c r="D142" s="73">
        <f>D73</f>
        <v>1484.6</v>
      </c>
    </row>
    <row r="143" spans="1:4">
      <c r="A143" s="66" t="s">
        <v>48</v>
      </c>
      <c r="B143" t="s">
        <v>108</v>
      </c>
      <c r="D143" s="73">
        <f>D83</f>
        <v>87.74</v>
      </c>
    </row>
    <row r="144" spans="1:4">
      <c r="A144" s="66" t="s">
        <v>50</v>
      </c>
      <c r="B144" t="s">
        <v>174</v>
      </c>
      <c r="D144" s="73">
        <f>D110</f>
        <v>105.28</v>
      </c>
    </row>
    <row r="145" spans="1:4">
      <c r="A145" s="66" t="s">
        <v>53</v>
      </c>
      <c r="B145" t="s">
        <v>152</v>
      </c>
      <c r="D145" s="73">
        <f>D119</f>
        <v>143.14</v>
      </c>
    </row>
    <row r="146" spans="2:4">
      <c r="B146" s="126" t="s">
        <v>232</v>
      </c>
      <c r="D146" s="73">
        <f>TRUNC(SUM(D141:D145),2)</f>
        <v>3272.86</v>
      </c>
    </row>
    <row r="147" spans="1:4">
      <c r="A147" s="66" t="s">
        <v>55</v>
      </c>
      <c r="B147" t="s">
        <v>164</v>
      </c>
      <c r="D147" s="73">
        <f>D136</f>
        <v>736.99</v>
      </c>
    </row>
    <row r="148" spans="1:4">
      <c r="A148" s="127"/>
      <c r="B148" s="128" t="s">
        <v>233</v>
      </c>
      <c r="C148" s="127"/>
      <c r="D148" s="129">
        <f>TRUNC((SUM(D141:D145)+D147),2)</f>
        <v>4009.85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C167" sqref="C167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42" t="s">
        <v>177</v>
      </c>
      <c r="B2" s="42"/>
      <c r="C2" s="42"/>
      <c r="D2" s="42"/>
    </row>
    <row r="3" ht="15.75" spans="1:4">
      <c r="A3" s="43" t="s">
        <v>178</v>
      </c>
      <c r="B3" s="43"/>
      <c r="C3" s="43"/>
      <c r="D3" s="43"/>
    </row>
    <row r="4" spans="1:4">
      <c r="A4" s="44" t="s">
        <v>179</v>
      </c>
      <c r="B4" s="45" t="s">
        <v>180</v>
      </c>
      <c r="C4" s="46"/>
      <c r="D4" s="46"/>
    </row>
    <row r="5" spans="1:4">
      <c r="A5" s="47"/>
      <c r="B5" s="48"/>
      <c r="C5" s="48"/>
      <c r="D5" s="48"/>
    </row>
    <row r="6" ht="15.75" spans="1:4">
      <c r="A6" s="49" t="s">
        <v>181</v>
      </c>
      <c r="B6" s="49"/>
      <c r="C6" s="49"/>
      <c r="D6" s="49"/>
    </row>
    <row r="7" ht="15.75" spans="1:4">
      <c r="A7" s="50" t="s">
        <v>42</v>
      </c>
      <c r="B7" s="51" t="s">
        <v>182</v>
      </c>
      <c r="C7" s="52" t="s">
        <v>183</v>
      </c>
      <c r="D7" s="52"/>
    </row>
    <row r="8" spans="1:4">
      <c r="A8" s="53" t="s">
        <v>45</v>
      </c>
      <c r="B8" s="54" t="s">
        <v>184</v>
      </c>
      <c r="C8" s="55" t="s">
        <v>185</v>
      </c>
      <c r="D8" s="55"/>
    </row>
    <row r="9" spans="1:4">
      <c r="A9" s="56" t="s">
        <v>48</v>
      </c>
      <c r="B9" s="57" t="s">
        <v>186</v>
      </c>
      <c r="C9" s="55" t="s">
        <v>187</v>
      </c>
      <c r="D9" s="55"/>
    </row>
    <row r="10" spans="1:4">
      <c r="A10" s="53" t="s">
        <v>53</v>
      </c>
      <c r="B10" s="54" t="s">
        <v>188</v>
      </c>
      <c r="C10" s="55" t="s">
        <v>189</v>
      </c>
      <c r="D10" s="55"/>
    </row>
    <row r="11" ht="15.75" spans="1:4">
      <c r="A11" s="58" t="s">
        <v>190</v>
      </c>
      <c r="B11" s="58"/>
      <c r="C11" s="58"/>
      <c r="D11" s="58"/>
    </row>
    <row r="12" ht="16.5" spans="1:4">
      <c r="A12" s="59" t="s">
        <v>191</v>
      </c>
      <c r="B12" s="59"/>
      <c r="C12" s="58" t="s">
        <v>192</v>
      </c>
      <c r="D12" s="60" t="s">
        <v>193</v>
      </c>
    </row>
    <row r="13" ht="15.75" spans="1:4">
      <c r="A13" s="61" t="s">
        <v>234</v>
      </c>
      <c r="B13" s="61"/>
      <c r="C13" s="55" t="s">
        <v>195</v>
      </c>
      <c r="D13" s="62">
        <f>RESUMO!D4</f>
        <v>1</v>
      </c>
    </row>
    <row r="14" spans="1:4">
      <c r="A14" s="63"/>
      <c r="B14" s="63"/>
      <c r="C14" s="55"/>
      <c r="D14" s="64"/>
    </row>
    <row r="15" ht="15.75" spans="1:7">
      <c r="A15" s="58" t="s">
        <v>14</v>
      </c>
      <c r="B15" s="58"/>
      <c r="C15" s="58"/>
      <c r="D15" s="58"/>
      <c r="F15" s="65"/>
      <c r="G15" s="65"/>
    </row>
    <row r="16" ht="15.75" spans="1:4">
      <c r="A16" s="66" t="s">
        <v>16</v>
      </c>
      <c r="B16" t="s">
        <v>17</v>
      </c>
      <c r="C16" s="66" t="s">
        <v>18</v>
      </c>
      <c r="D16" s="66" t="s">
        <v>19</v>
      </c>
    </row>
    <row r="17" spans="1:4">
      <c r="A17" s="66">
        <v>1</v>
      </c>
      <c r="B17" t="s">
        <v>20</v>
      </c>
      <c r="C17" s="67" t="s">
        <v>102</v>
      </c>
      <c r="D17" s="67" t="str">
        <f>A13</f>
        <v>Copeiro(a)</v>
      </c>
    </row>
    <row r="18" spans="1:4">
      <c r="A18" s="66">
        <v>2</v>
      </c>
      <c r="B18" t="s">
        <v>23</v>
      </c>
      <c r="C18" s="67" t="s">
        <v>196</v>
      </c>
      <c r="D18" s="67" t="s">
        <v>235</v>
      </c>
    </row>
    <row r="19" spans="1:4">
      <c r="A19" s="66">
        <v>3</v>
      </c>
      <c r="B19" t="s">
        <v>26</v>
      </c>
      <c r="C19" s="67" t="str">
        <f>C9</f>
        <v>CCT PB000144/2024</v>
      </c>
      <c r="D19" s="68">
        <v>1414.45</v>
      </c>
    </row>
    <row r="20" spans="1:4">
      <c r="A20" s="66">
        <v>4</v>
      </c>
      <c r="B20" t="s">
        <v>29</v>
      </c>
      <c r="C20" s="67" t="str">
        <f>C9</f>
        <v>CCT PB000144/2024</v>
      </c>
      <c r="D20" s="69" t="s">
        <v>198</v>
      </c>
    </row>
    <row r="21" spans="1:4">
      <c r="A21" s="66">
        <v>5</v>
      </c>
      <c r="B21" t="s">
        <v>33</v>
      </c>
      <c r="C21" s="67" t="str">
        <f>C9</f>
        <v>CCT PB000144/2024</v>
      </c>
      <c r="D21" s="70" t="s">
        <v>199</v>
      </c>
    </row>
    <row r="22" spans="6:7">
      <c r="F22" s="65"/>
      <c r="G22" s="65"/>
    </row>
    <row r="23" spans="1:4">
      <c r="A23" s="49" t="s">
        <v>36</v>
      </c>
      <c r="B23" s="49"/>
      <c r="C23" s="49"/>
      <c r="D23" s="49"/>
    </row>
    <row r="24" spans="1:7">
      <c r="A24" s="66" t="s">
        <v>39</v>
      </c>
      <c r="B24" s="71" t="s">
        <v>40</v>
      </c>
      <c r="C24" s="66" t="s">
        <v>18</v>
      </c>
      <c r="D24" s="66" t="s">
        <v>19</v>
      </c>
      <c r="G24" s="72"/>
    </row>
    <row r="25" spans="1:7">
      <c r="A25" s="66" t="s">
        <v>42</v>
      </c>
      <c r="B25" t="s">
        <v>43</v>
      </c>
      <c r="C25" s="69" t="s">
        <v>236</v>
      </c>
      <c r="D25" s="68">
        <f>D19</f>
        <v>1414.45</v>
      </c>
      <c r="G25" s="72"/>
    </row>
    <row r="26" spans="1:7">
      <c r="A26" s="66" t="s">
        <v>45</v>
      </c>
      <c r="B26" t="s">
        <v>46</v>
      </c>
      <c r="C26" s="69"/>
      <c r="D26" s="84">
        <v>0</v>
      </c>
      <c r="G26" s="72"/>
    </row>
    <row r="27" spans="1:4">
      <c r="A27" s="66" t="s">
        <v>48</v>
      </c>
      <c r="B27" t="s">
        <v>49</v>
      </c>
      <c r="C27" s="69"/>
      <c r="D27" s="68">
        <v>0</v>
      </c>
    </row>
    <row r="28" spans="1:4">
      <c r="A28" s="66" t="s">
        <v>50</v>
      </c>
      <c r="B28" t="s">
        <v>51</v>
      </c>
      <c r="C28" s="69"/>
      <c r="D28" s="68">
        <v>0</v>
      </c>
    </row>
    <row r="29" spans="1:4">
      <c r="A29" s="66" t="s">
        <v>53</v>
      </c>
      <c r="B29" t="s">
        <v>54</v>
      </c>
      <c r="C29" s="69"/>
      <c r="D29" s="68">
        <v>0</v>
      </c>
    </row>
    <row r="30" spans="1:4">
      <c r="A30" s="66" t="s">
        <v>55</v>
      </c>
      <c r="B30" t="s">
        <v>56</v>
      </c>
      <c r="C30" s="69"/>
      <c r="D30" s="68">
        <v>0</v>
      </c>
    </row>
    <row r="31" spans="1:7">
      <c r="A31" s="66" t="s">
        <v>58</v>
      </c>
      <c r="C31" s="66"/>
      <c r="D31" s="73">
        <f>TRUNC(SUM(D25:D30),2)</f>
        <v>1414.45</v>
      </c>
      <c r="F31" s="65"/>
      <c r="G31" s="65"/>
    </row>
    <row r="33" spans="1:7">
      <c r="A33" s="74" t="s">
        <v>61</v>
      </c>
      <c r="B33" s="74"/>
      <c r="C33" s="74"/>
      <c r="D33" s="74"/>
      <c r="G33" s="72"/>
    </row>
    <row r="35" spans="1:4">
      <c r="A35" s="65" t="s">
        <v>63</v>
      </c>
      <c r="B35" s="65"/>
      <c r="C35" s="65"/>
      <c r="D35" s="65"/>
    </row>
    <row r="36" spans="1:4">
      <c r="A36" s="66" t="s">
        <v>65</v>
      </c>
      <c r="B36" s="71" t="s">
        <v>66</v>
      </c>
      <c r="C36" s="66" t="s">
        <v>38</v>
      </c>
      <c r="D36" s="66" t="s">
        <v>19</v>
      </c>
    </row>
    <row r="37" spans="1:7">
      <c r="A37" s="66" t="s">
        <v>42</v>
      </c>
      <c r="B37" t="s">
        <v>67</v>
      </c>
      <c r="C37" s="75">
        <f>(1/12)</f>
        <v>0.0833333333333333</v>
      </c>
      <c r="D37" s="73">
        <f>TRUNC($D$31*C37,2)</f>
        <v>117.87</v>
      </c>
      <c r="F37" s="76"/>
      <c r="G37" s="76"/>
    </row>
    <row r="38" spans="1:7">
      <c r="A38" s="66" t="s">
        <v>45</v>
      </c>
      <c r="B38" t="s">
        <v>68</v>
      </c>
      <c r="C38" s="75">
        <f>(((1+1/3)/12))</f>
        <v>0.111111111111111</v>
      </c>
      <c r="D38" s="73">
        <f>TRUNC($D$31*C38,2)</f>
        <v>157.16</v>
      </c>
      <c r="F38" s="76"/>
      <c r="G38" s="76"/>
    </row>
    <row r="39" spans="1:7">
      <c r="A39" s="66" t="s">
        <v>58</v>
      </c>
      <c r="D39" s="73">
        <f>TRUNC((SUM(D37:D38)),2)</f>
        <v>275.03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1414.45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275.03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1689.48</v>
      </c>
      <c r="F43" s="76"/>
      <c r="G43" s="76"/>
    </row>
    <row r="44" ht="15.75" spans="1:7">
      <c r="A44" s="66"/>
      <c r="C44" s="82"/>
      <c r="D44" s="73"/>
      <c r="F44" s="76"/>
      <c r="G44" s="76"/>
    </row>
    <row r="45" spans="1:4">
      <c r="A45" s="65" t="s">
        <v>77</v>
      </c>
      <c r="B45" s="65"/>
      <c r="C45" s="65"/>
      <c r="D45" s="65"/>
    </row>
    <row r="46" spans="1:4">
      <c r="A46" s="66" t="s">
        <v>78</v>
      </c>
      <c r="B46" s="71" t="s">
        <v>79</v>
      </c>
      <c r="C46" s="66" t="s">
        <v>38</v>
      </c>
      <c r="D46" s="66" t="s">
        <v>80</v>
      </c>
    </row>
    <row r="47" spans="1:4">
      <c r="A47" s="66" t="s">
        <v>42</v>
      </c>
      <c r="B47" t="s">
        <v>81</v>
      </c>
      <c r="C47" s="75">
        <v>0.2</v>
      </c>
      <c r="D47" s="73">
        <f t="shared" ref="D47:D54" si="0">TRUNC(($D$43*C47),2)</f>
        <v>337.89</v>
      </c>
    </row>
    <row r="48" spans="1:4">
      <c r="A48" s="66" t="s">
        <v>45</v>
      </c>
      <c r="B48" t="s">
        <v>82</v>
      </c>
      <c r="C48" s="75">
        <v>0.025</v>
      </c>
      <c r="D48" s="73">
        <f t="shared" si="0"/>
        <v>42.23</v>
      </c>
    </row>
    <row r="49" spans="1:4">
      <c r="A49" s="66" t="s">
        <v>48</v>
      </c>
      <c r="B49" t="s">
        <v>205</v>
      </c>
      <c r="C49" s="132">
        <v>0.06</v>
      </c>
      <c r="D49" s="68">
        <f t="shared" si="0"/>
        <v>101.36</v>
      </c>
    </row>
    <row r="50" spans="1:4">
      <c r="A50" s="66" t="s">
        <v>50</v>
      </c>
      <c r="B50" t="s">
        <v>84</v>
      </c>
      <c r="C50" s="75">
        <v>0.015</v>
      </c>
      <c r="D50" s="73">
        <f t="shared" si="0"/>
        <v>25.34</v>
      </c>
    </row>
    <row r="51" spans="1:4">
      <c r="A51" s="66" t="s">
        <v>53</v>
      </c>
      <c r="B51" t="s">
        <v>85</v>
      </c>
      <c r="C51" s="75">
        <v>0.01</v>
      </c>
      <c r="D51" s="73">
        <f t="shared" si="0"/>
        <v>16.89</v>
      </c>
    </row>
    <row r="52" spans="1:4">
      <c r="A52" s="66" t="s">
        <v>55</v>
      </c>
      <c r="B52" t="s">
        <v>86</v>
      </c>
      <c r="C52" s="75">
        <v>0.006</v>
      </c>
      <c r="D52" s="73">
        <f t="shared" si="0"/>
        <v>10.13</v>
      </c>
    </row>
    <row r="53" spans="1:4">
      <c r="A53" s="66" t="s">
        <v>87</v>
      </c>
      <c r="B53" t="s">
        <v>88</v>
      </c>
      <c r="C53" s="75">
        <v>0.002</v>
      </c>
      <c r="D53" s="73">
        <f t="shared" si="0"/>
        <v>3.37</v>
      </c>
    </row>
    <row r="54" spans="1:4">
      <c r="A54" s="66" t="s">
        <v>89</v>
      </c>
      <c r="B54" t="s">
        <v>90</v>
      </c>
      <c r="C54" s="75">
        <v>0.08</v>
      </c>
      <c r="D54" s="73">
        <f t="shared" si="0"/>
        <v>135.15</v>
      </c>
    </row>
    <row r="55" spans="1:4">
      <c r="A55" s="66" t="s">
        <v>58</v>
      </c>
      <c r="C55" s="82">
        <f>SUM(C47:C54)</f>
        <v>0.398</v>
      </c>
      <c r="D55" s="73">
        <f>TRUNC((SUM(D47:D54)),2)</f>
        <v>672.36</v>
      </c>
    </row>
    <row r="56" spans="1:4">
      <c r="A56" s="66"/>
      <c r="C56" s="82"/>
      <c r="D56" s="73"/>
    </row>
    <row r="57" spans="1:4">
      <c r="A57" s="65" t="s">
        <v>95</v>
      </c>
      <c r="B57" s="65"/>
      <c r="C57" s="65"/>
      <c r="D57" s="65"/>
    </row>
    <row r="58" spans="1:4">
      <c r="A58" s="66" t="s">
        <v>96</v>
      </c>
      <c r="B58" s="71" t="s">
        <v>97</v>
      </c>
      <c r="C58" s="66" t="s">
        <v>18</v>
      </c>
      <c r="D58" s="66" t="s">
        <v>19</v>
      </c>
    </row>
    <row r="59" spans="1:4">
      <c r="A59" s="66" t="s">
        <v>42</v>
      </c>
      <c r="B59" t="s">
        <v>98</v>
      </c>
      <c r="C59" s="67"/>
      <c r="D59" s="84">
        <v>0</v>
      </c>
    </row>
    <row r="60" spans="1:4">
      <c r="A60" s="66" t="s">
        <v>45</v>
      </c>
      <c r="B60" t="s">
        <v>99</v>
      </c>
      <c r="C60" s="67" t="str">
        <f>C9</f>
        <v>CCT PB000144/2024</v>
      </c>
      <c r="D60" s="68">
        <f>TRUNC((((550))-(((550))*0.2)),2)</f>
        <v>440</v>
      </c>
    </row>
    <row r="61" spans="1:4">
      <c r="A61" s="66" t="s">
        <v>48</v>
      </c>
      <c r="B61" t="s">
        <v>100</v>
      </c>
      <c r="C61" s="67"/>
      <c r="D61" s="68">
        <v>0</v>
      </c>
    </row>
    <row r="62" spans="1:6">
      <c r="A62" s="85" t="s">
        <v>50</v>
      </c>
      <c r="B62" s="86" t="s">
        <v>206</v>
      </c>
      <c r="C62" s="87"/>
      <c r="D62" s="87">
        <v>0</v>
      </c>
      <c r="F62" s="86"/>
    </row>
    <row r="63" spans="1:4">
      <c r="A63" s="85" t="s">
        <v>53</v>
      </c>
      <c r="B63" s="71" t="s">
        <v>207</v>
      </c>
      <c r="C63" s="67" t="str">
        <f>C9</f>
        <v>CCT PB000144/2024</v>
      </c>
      <c r="D63" s="68">
        <v>22</v>
      </c>
    </row>
    <row r="64" spans="1:4">
      <c r="A64" s="85" t="s">
        <v>55</v>
      </c>
      <c r="B64" s="88" t="s">
        <v>208</v>
      </c>
      <c r="C64" s="67" t="str">
        <f>C9</f>
        <v>CCT PB000144/2024</v>
      </c>
      <c r="D64" s="68">
        <v>6</v>
      </c>
    </row>
    <row r="65" spans="1:4">
      <c r="A65" s="85" t="s">
        <v>87</v>
      </c>
      <c r="B65" s="88" t="s">
        <v>209</v>
      </c>
      <c r="C65" s="87" t="str">
        <f>C9</f>
        <v>CCT PB000144/2024</v>
      </c>
      <c r="D65" s="68">
        <v>44</v>
      </c>
    </row>
    <row r="66" spans="1:4">
      <c r="A66" s="66" t="s">
        <v>58</v>
      </c>
      <c r="D66" s="73">
        <f>TRUNC((SUM(D59:D65)),2)</f>
        <v>512</v>
      </c>
    </row>
    <row r="67" spans="1:4">
      <c r="A67" s="66"/>
      <c r="D67" s="73"/>
    </row>
    <row r="68" spans="1:4">
      <c r="A68" s="65" t="s">
        <v>105</v>
      </c>
      <c r="B68" s="65"/>
      <c r="C68" s="65"/>
      <c r="D68" s="65"/>
    </row>
    <row r="69" spans="1:4">
      <c r="A69" s="66" t="s">
        <v>106</v>
      </c>
      <c r="B69" s="71" t="s">
        <v>107</v>
      </c>
      <c r="C69" s="66" t="s">
        <v>18</v>
      </c>
      <c r="D69" s="66" t="s">
        <v>19</v>
      </c>
    </row>
    <row r="70" spans="1:4">
      <c r="A70" s="66" t="s">
        <v>65</v>
      </c>
      <c r="B70" t="s">
        <v>66</v>
      </c>
      <c r="C70" s="66"/>
      <c r="D70" s="73">
        <f>D39</f>
        <v>275.03</v>
      </c>
    </row>
    <row r="71" spans="1:4">
      <c r="A71" s="66" t="s">
        <v>78</v>
      </c>
      <c r="B71" t="s">
        <v>79</v>
      </c>
      <c r="C71" s="66"/>
      <c r="D71" s="73">
        <f>D55</f>
        <v>672.36</v>
      </c>
    </row>
    <row r="72" spans="1:4">
      <c r="A72" s="66" t="s">
        <v>96</v>
      </c>
      <c r="B72" t="s">
        <v>97</v>
      </c>
      <c r="C72" s="66"/>
      <c r="D72" s="73">
        <f>D66</f>
        <v>512</v>
      </c>
    </row>
    <row r="73" spans="1:4">
      <c r="A73" s="66" t="s">
        <v>58</v>
      </c>
      <c r="C73" s="66"/>
      <c r="D73" s="73">
        <f>TRUNC((SUM(D70:D72)),2)</f>
        <v>1459.39</v>
      </c>
    </row>
    <row r="75" spans="1:4">
      <c r="A75" s="49" t="s">
        <v>108</v>
      </c>
      <c r="B75" s="49"/>
      <c r="C75" s="49"/>
      <c r="D75" s="49"/>
    </row>
    <row r="76" spans="1:4">
      <c r="A76" s="66" t="s">
        <v>109</v>
      </c>
      <c r="B76" s="71" t="s">
        <v>110</v>
      </c>
      <c r="C76" s="66" t="s">
        <v>38</v>
      </c>
      <c r="D76" s="66" t="s">
        <v>19</v>
      </c>
    </row>
    <row r="77" spans="1:4">
      <c r="A77" s="66" t="s">
        <v>42</v>
      </c>
      <c r="B77" t="s">
        <v>111</v>
      </c>
      <c r="C77" s="89">
        <f>((1/12)*2%)</f>
        <v>0.00166666666666667</v>
      </c>
      <c r="D77" s="138">
        <f>TRUNC(($D$31*C77),2)</f>
        <v>2.35</v>
      </c>
    </row>
    <row r="78" spans="1:4">
      <c r="A78" s="66" t="s">
        <v>45</v>
      </c>
      <c r="B78" t="s">
        <v>112</v>
      </c>
      <c r="C78" s="90">
        <v>0.08</v>
      </c>
      <c r="D78" s="131">
        <f>TRUNC(($D$77*C78),2)</f>
        <v>0.18</v>
      </c>
    </row>
    <row r="79" ht="30" spans="1:4">
      <c r="A79" s="66" t="s">
        <v>48</v>
      </c>
      <c r="B79" s="91" t="s">
        <v>113</v>
      </c>
      <c r="C79" s="83">
        <f>(0.08*0.4*0.02)</f>
        <v>0.00064</v>
      </c>
      <c r="D79" s="138">
        <f>TRUNC(($D$31*C79),2)</f>
        <v>0.9</v>
      </c>
    </row>
    <row r="80" spans="1:4">
      <c r="A80" s="66" t="s">
        <v>50</v>
      </c>
      <c r="B80" t="s">
        <v>114</v>
      </c>
      <c r="C80" s="92">
        <f>(((7/30)/12)*0.98)</f>
        <v>0.0190555555555556</v>
      </c>
      <c r="D80" s="139">
        <f>TRUNC(($D$31*C80),2)</f>
        <v>26.95</v>
      </c>
    </row>
    <row r="81" ht="30" spans="1:4">
      <c r="A81" s="66" t="s">
        <v>53</v>
      </c>
      <c r="B81" s="91" t="s">
        <v>210</v>
      </c>
      <c r="C81" s="83">
        <f>C55</f>
        <v>0.398</v>
      </c>
      <c r="D81" s="138">
        <f>TRUNC(($D$80*C81),2)</f>
        <v>10.72</v>
      </c>
    </row>
    <row r="82" ht="30" spans="1:4">
      <c r="A82" s="66" t="s">
        <v>55</v>
      </c>
      <c r="B82" s="91" t="s">
        <v>115</v>
      </c>
      <c r="C82" s="92">
        <f>(0.08*0.4*0.98)</f>
        <v>0.03136</v>
      </c>
      <c r="D82" s="138">
        <f>TRUNC(($D$31*C82),2)</f>
        <v>44.35</v>
      </c>
    </row>
    <row r="83" spans="1:4">
      <c r="A83" s="66" t="s">
        <v>58</v>
      </c>
      <c r="C83" s="90">
        <f>SUM(C77:C82)</f>
        <v>0.530722222222222</v>
      </c>
      <c r="D83" s="73">
        <f>TRUNC((SUM(D77:D82)),2)</f>
        <v>85.45</v>
      </c>
    </row>
    <row r="84" ht="15.75" spans="1:4">
      <c r="A84" s="66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1414.45</v>
      </c>
    </row>
    <row r="86" ht="16.5" spans="1:4">
      <c r="A86" s="77"/>
      <c r="B86" s="77"/>
      <c r="C86" s="80" t="s">
        <v>212</v>
      </c>
      <c r="D86" s="79">
        <f>D73</f>
        <v>1459.39</v>
      </c>
    </row>
    <row r="87" ht="16.5" spans="1:4">
      <c r="A87" s="77"/>
      <c r="B87" s="77"/>
      <c r="C87" s="78" t="s">
        <v>213</v>
      </c>
      <c r="D87" s="79">
        <f>D83</f>
        <v>85.45</v>
      </c>
    </row>
    <row r="88" ht="16.5" spans="1:4">
      <c r="A88" s="77"/>
      <c r="B88" s="77"/>
      <c r="C88" s="80" t="s">
        <v>204</v>
      </c>
      <c r="D88" s="81">
        <f>TRUNC((SUM(D85:D87)),2)</f>
        <v>2959.29</v>
      </c>
    </row>
    <row r="89" ht="15.75" spans="1:4">
      <c r="A89" s="66"/>
      <c r="D89" s="73"/>
    </row>
    <row r="90" spans="1:4">
      <c r="A90" s="95" t="s">
        <v>127</v>
      </c>
      <c r="B90" s="95"/>
      <c r="C90" s="95"/>
      <c r="D90" s="95"/>
    </row>
    <row r="91" spans="1:4">
      <c r="A91" s="65" t="s">
        <v>128</v>
      </c>
      <c r="B91" s="65"/>
      <c r="C91" s="65"/>
      <c r="D91" s="65"/>
    </row>
    <row r="92" spans="1:4">
      <c r="A92" s="66" t="s">
        <v>129</v>
      </c>
      <c r="B92" s="71" t="s">
        <v>130</v>
      </c>
      <c r="C92" s="66" t="s">
        <v>38</v>
      </c>
      <c r="D92" s="66" t="s">
        <v>19</v>
      </c>
    </row>
    <row r="93" spans="1:4">
      <c r="A93" s="66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47.95</v>
      </c>
    </row>
    <row r="94" spans="1:4">
      <c r="A94" s="66" t="s">
        <v>45</v>
      </c>
      <c r="B94" t="s">
        <v>133</v>
      </c>
      <c r="C94" s="89">
        <f>((5/30)/12)</f>
        <v>0.0138888888888889</v>
      </c>
      <c r="D94" s="87">
        <f t="shared" ref="D93:D97" si="1">TRUNC(($D$88*C94),2)</f>
        <v>41.1</v>
      </c>
    </row>
    <row r="95" spans="1:4">
      <c r="A95" s="66" t="s">
        <v>48</v>
      </c>
      <c r="B95" t="s">
        <v>134</v>
      </c>
      <c r="C95" s="89">
        <f>((5/30)/12)*0.02</f>
        <v>0.000277777777777778</v>
      </c>
      <c r="D95" s="87">
        <f t="shared" si="1"/>
        <v>0.82</v>
      </c>
    </row>
    <row r="96" ht="30" spans="1:4">
      <c r="A96" s="85" t="s">
        <v>50</v>
      </c>
      <c r="B96" s="91" t="s">
        <v>135</v>
      </c>
      <c r="C96" s="83">
        <f>((15/30)/12)*0.08</f>
        <v>0.00333333333333333</v>
      </c>
      <c r="D96" s="87">
        <f t="shared" si="1"/>
        <v>9.86</v>
      </c>
    </row>
    <row r="97" spans="1:4">
      <c r="A97" s="66" t="s">
        <v>53</v>
      </c>
      <c r="B97" t="s">
        <v>136</v>
      </c>
      <c r="C97" s="89">
        <f>((1+1/3)/12)*0.03*((4/12))</f>
        <v>0.00111111111111111</v>
      </c>
      <c r="D97" s="87">
        <f t="shared" si="1"/>
        <v>3.28</v>
      </c>
    </row>
    <row r="98" ht="30" spans="1:4">
      <c r="A98" s="66" t="s">
        <v>55</v>
      </c>
      <c r="B98" s="91" t="s">
        <v>215</v>
      </c>
      <c r="C98" s="96">
        <v>0</v>
      </c>
      <c r="D98" s="87">
        <f>TRUNC($D$88*C98)</f>
        <v>0</v>
      </c>
    </row>
    <row r="99" spans="1:4">
      <c r="A99" s="66" t="s">
        <v>58</v>
      </c>
      <c r="C99" s="90">
        <f>SUM(C93:C98)</f>
        <v>0.0348148148148148</v>
      </c>
      <c r="D99" s="73">
        <f>TRUNC((SUM(D93:D98)),2)</f>
        <v>103.01</v>
      </c>
    </row>
    <row r="100" spans="1:4">
      <c r="A100" s="66"/>
      <c r="C100" s="66"/>
      <c r="D100" s="73"/>
    </row>
    <row r="101" spans="1:4">
      <c r="A101" s="65" t="s">
        <v>144</v>
      </c>
      <c r="B101" s="65"/>
      <c r="C101" s="65"/>
      <c r="D101" s="65"/>
    </row>
    <row r="102" spans="1:4">
      <c r="A102" s="66" t="s">
        <v>145</v>
      </c>
      <c r="B102" s="71" t="s">
        <v>146</v>
      </c>
      <c r="C102" s="66" t="s">
        <v>18</v>
      </c>
      <c r="D102" s="66" t="s">
        <v>19</v>
      </c>
    </row>
    <row r="103" ht="90" spans="1:4">
      <c r="A103" s="85" t="s">
        <v>42</v>
      </c>
      <c r="B103" s="97" t="s">
        <v>147</v>
      </c>
      <c r="C103" s="98" t="s">
        <v>216</v>
      </c>
      <c r="D103" s="140" t="s">
        <v>217</v>
      </c>
    </row>
    <row r="104" spans="1:4">
      <c r="A104" s="66" t="s">
        <v>58</v>
      </c>
      <c r="C104" s="100"/>
      <c r="D104" s="141" t="str">
        <f>D103</f>
        <v>*=TRUNCAR(($D$86/220)*(1*(365/12))/2)</v>
      </c>
    </row>
    <row r="106" spans="1:4">
      <c r="A106" s="65" t="s">
        <v>148</v>
      </c>
      <c r="B106" s="65"/>
      <c r="C106" s="65"/>
      <c r="D106" s="65"/>
    </row>
    <row r="107" spans="1:4">
      <c r="A107" s="66" t="s">
        <v>149</v>
      </c>
      <c r="B107" s="71" t="s">
        <v>150</v>
      </c>
      <c r="C107" s="66" t="s">
        <v>18</v>
      </c>
      <c r="D107" s="66" t="s">
        <v>19</v>
      </c>
    </row>
    <row r="108" spans="1:4">
      <c r="A108" s="66" t="s">
        <v>129</v>
      </c>
      <c r="B108" t="s">
        <v>130</v>
      </c>
      <c r="D108" s="68">
        <f>D99</f>
        <v>103.01</v>
      </c>
    </row>
    <row r="109" spans="1:4">
      <c r="A109" s="66" t="s">
        <v>145</v>
      </c>
      <c r="B109" t="s">
        <v>151</v>
      </c>
      <c r="C109" s="71"/>
      <c r="D109" s="102" t="str">
        <f>Submódulo4.260_42[[#Totals],[Valor]]</f>
        <v>*=TRUNCAR(($D$86/220)*(1*(365/12))/2)</v>
      </c>
    </row>
    <row r="110" ht="60" spans="1:4">
      <c r="A110" s="85" t="s">
        <v>58</v>
      </c>
      <c r="B110" s="86"/>
      <c r="C110" s="98" t="s">
        <v>218</v>
      </c>
      <c r="D110" s="103">
        <f>TRUNC((SUM(D108:D109)),2)</f>
        <v>103.01</v>
      </c>
    </row>
    <row r="112" spans="1:4">
      <c r="A112" s="49" t="s">
        <v>152</v>
      </c>
      <c r="B112" s="49"/>
      <c r="C112" s="49"/>
      <c r="D112" s="49"/>
    </row>
    <row r="113" spans="1:4">
      <c r="A113" s="66" t="s">
        <v>153</v>
      </c>
      <c r="B113" s="71" t="s">
        <v>154</v>
      </c>
      <c r="C113" s="66" t="s">
        <v>18</v>
      </c>
      <c r="D113" s="66" t="s">
        <v>19</v>
      </c>
    </row>
    <row r="114" spans="1:4">
      <c r="A114" s="66" t="s">
        <v>42</v>
      </c>
      <c r="B114" t="s">
        <v>219</v>
      </c>
      <c r="D114" s="112">
        <f>Uniformes!G26</f>
        <v>143.14</v>
      </c>
    </row>
    <row r="115" spans="1:4">
      <c r="A115" s="66" t="s">
        <v>45</v>
      </c>
      <c r="B115" t="s">
        <v>220</v>
      </c>
      <c r="D115" s="116">
        <v>0</v>
      </c>
    </row>
    <row r="116" spans="1:4">
      <c r="A116" s="66" t="s">
        <v>48</v>
      </c>
      <c r="B116" t="s">
        <v>156</v>
      </c>
      <c r="D116" s="116">
        <v>0</v>
      </c>
    </row>
    <row r="117" spans="1:4">
      <c r="A117" s="66" t="s">
        <v>50</v>
      </c>
      <c r="B117" t="s">
        <v>157</v>
      </c>
      <c r="D117" s="116">
        <v>0</v>
      </c>
    </row>
    <row r="118" spans="1:4">
      <c r="A118" s="66" t="s">
        <v>53</v>
      </c>
      <c r="B118" t="s">
        <v>221</v>
      </c>
      <c r="D118" s="116">
        <f>H116</f>
        <v>0</v>
      </c>
    </row>
    <row r="119" spans="1:4">
      <c r="A119" s="66" t="s">
        <v>58</v>
      </c>
      <c r="D119" s="117">
        <f>TRUNC(SUM(D114:D118),2)</f>
        <v>143.14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1414.45</v>
      </c>
    </row>
    <row r="122" ht="16.5" spans="1:4">
      <c r="A122" s="77"/>
      <c r="B122" s="77"/>
      <c r="C122" s="80" t="s">
        <v>212</v>
      </c>
      <c r="D122" s="79">
        <f>D73</f>
        <v>1459.39</v>
      </c>
    </row>
    <row r="123" ht="16.5" spans="1:4">
      <c r="A123" s="77"/>
      <c r="B123" s="77"/>
      <c r="C123" s="78" t="s">
        <v>213</v>
      </c>
      <c r="D123" s="79">
        <f>D83</f>
        <v>85.45</v>
      </c>
    </row>
    <row r="124" ht="16.5" spans="1:4">
      <c r="A124" s="77"/>
      <c r="B124" s="77"/>
      <c r="C124" s="80" t="s">
        <v>223</v>
      </c>
      <c r="D124" s="79">
        <f>D110</f>
        <v>103.01</v>
      </c>
    </row>
    <row r="125" ht="16.5" spans="1:4">
      <c r="A125" s="77"/>
      <c r="B125" s="77"/>
      <c r="C125" s="78" t="s">
        <v>224</v>
      </c>
      <c r="D125" s="79">
        <f>D119</f>
        <v>143.14</v>
      </c>
    </row>
    <row r="126" ht="16.5" spans="1:4">
      <c r="A126" s="77"/>
      <c r="B126" s="77"/>
      <c r="C126" s="80" t="s">
        <v>204</v>
      </c>
      <c r="D126" s="81">
        <f>TRUNC((SUM(D121:D125)),2)</f>
        <v>3205.44</v>
      </c>
    </row>
    <row r="127" ht="15.75"/>
    <row r="128" ht="15.75" spans="1:7">
      <c r="A128" s="49" t="s">
        <v>164</v>
      </c>
      <c r="B128" s="49"/>
      <c r="C128" s="49"/>
      <c r="D128" s="49"/>
      <c r="F128" s="104" t="s">
        <v>225</v>
      </c>
      <c r="G128" s="104"/>
    </row>
    <row r="129" ht="15.75" spans="1:7">
      <c r="A129" s="66" t="s">
        <v>165</v>
      </c>
      <c r="B129" t="s">
        <v>166</v>
      </c>
      <c r="C129" s="66" t="s">
        <v>38</v>
      </c>
      <c r="D129" s="66" t="s">
        <v>19</v>
      </c>
      <c r="F129" s="119" t="s">
        <v>226</v>
      </c>
      <c r="G129" s="120">
        <f>(C132*100)</f>
        <v>14.25</v>
      </c>
    </row>
    <row r="130" ht="15.75" spans="1:7">
      <c r="A130" s="66" t="s">
        <v>42</v>
      </c>
      <c r="B130" t="s">
        <v>167</v>
      </c>
      <c r="C130" s="89">
        <v>0.02</v>
      </c>
      <c r="D130" s="116">
        <f>TRUNC(($D$126*C130),2)</f>
        <v>64.1</v>
      </c>
      <c r="F130" s="121" t="s">
        <v>227</v>
      </c>
      <c r="G130" s="142">
        <f>TRUNC(SUM(D126,D130,D131),2)</f>
        <v>3334.93</v>
      </c>
    </row>
    <row r="131" ht="15.75" spans="1:7">
      <c r="A131" s="66" t="s">
        <v>45</v>
      </c>
      <c r="B131" t="s">
        <v>59</v>
      </c>
      <c r="C131" s="89">
        <v>0.02</v>
      </c>
      <c r="D131" s="116">
        <f>TRUNC((C131*(D126+D130)),2)</f>
        <v>65.39</v>
      </c>
      <c r="F131" s="119" t="s">
        <v>228</v>
      </c>
      <c r="G131" s="123">
        <f>((100-G129)/100)</f>
        <v>0.8575</v>
      </c>
    </row>
    <row r="132" ht="15.75" spans="1:7">
      <c r="A132" s="66" t="s">
        <v>48</v>
      </c>
      <c r="B132" t="s">
        <v>168</v>
      </c>
      <c r="C132" s="89">
        <f>SUM(C133:C135)</f>
        <v>0.1425</v>
      </c>
      <c r="D132" s="68">
        <f>TRUNC((SUM(D133:D135)),2)</f>
        <v>554.19</v>
      </c>
      <c r="F132" s="121" t="s">
        <v>225</v>
      </c>
      <c r="G132" s="142">
        <f>TRUNC((G130/G131),2)</f>
        <v>3889.13</v>
      </c>
    </row>
    <row r="133" ht="15.75" spans="1:4">
      <c r="A133" s="66"/>
      <c r="B133" t="s">
        <v>229</v>
      </c>
      <c r="C133" s="89">
        <v>0.0165</v>
      </c>
      <c r="D133" s="68">
        <f t="shared" ref="D133:D135" si="2">TRUNC(($G$132*C133),2)</f>
        <v>64.17</v>
      </c>
    </row>
    <row r="134" spans="1:4">
      <c r="A134" s="66"/>
      <c r="B134" t="s">
        <v>230</v>
      </c>
      <c r="C134" s="89">
        <v>0.076</v>
      </c>
      <c r="D134" s="68">
        <f t="shared" si="2"/>
        <v>295.57</v>
      </c>
    </row>
    <row r="135" spans="1:4">
      <c r="A135" s="66"/>
      <c r="B135" t="s">
        <v>231</v>
      </c>
      <c r="C135" s="89">
        <v>0.05</v>
      </c>
      <c r="D135" s="68">
        <f t="shared" si="2"/>
        <v>194.45</v>
      </c>
    </row>
    <row r="136" spans="1:4">
      <c r="A136" s="66" t="s">
        <v>58</v>
      </c>
      <c r="C136" s="125"/>
      <c r="D136" s="73">
        <f>TRUNC(SUM(D130:D132),2)</f>
        <v>683.68</v>
      </c>
    </row>
    <row r="137" spans="1:4">
      <c r="A137" s="66"/>
      <c r="C137" s="125"/>
      <c r="D137" s="73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3">
        <f>D31</f>
        <v>1414.45</v>
      </c>
    </row>
    <row r="142" spans="1:4">
      <c r="A142" s="66" t="s">
        <v>45</v>
      </c>
      <c r="B142" t="s">
        <v>61</v>
      </c>
      <c r="D142" s="73">
        <f>D73</f>
        <v>1459.39</v>
      </c>
    </row>
    <row r="143" spans="1:4">
      <c r="A143" s="66" t="s">
        <v>48</v>
      </c>
      <c r="B143" t="s">
        <v>108</v>
      </c>
      <c r="D143" s="73">
        <f>D83</f>
        <v>85.45</v>
      </c>
    </row>
    <row r="144" spans="1:4">
      <c r="A144" s="66" t="s">
        <v>50</v>
      </c>
      <c r="B144" t="s">
        <v>174</v>
      </c>
      <c r="D144" s="73">
        <f>D110</f>
        <v>103.01</v>
      </c>
    </row>
    <row r="145" spans="1:4">
      <c r="A145" s="66" t="s">
        <v>53</v>
      </c>
      <c r="B145" t="s">
        <v>152</v>
      </c>
      <c r="D145" s="73">
        <f>D119</f>
        <v>143.14</v>
      </c>
    </row>
    <row r="146" spans="2:4">
      <c r="B146" s="126" t="s">
        <v>232</v>
      </c>
      <c r="D146" s="73">
        <f>TRUNC(SUM(D141:D145),2)</f>
        <v>3205.44</v>
      </c>
    </row>
    <row r="147" spans="1:4">
      <c r="A147" s="66" t="s">
        <v>55</v>
      </c>
      <c r="B147" t="s">
        <v>164</v>
      </c>
      <c r="D147" s="73">
        <f>D136</f>
        <v>683.68</v>
      </c>
    </row>
    <row r="148" spans="1:4">
      <c r="A148" s="127"/>
      <c r="B148" s="128" t="s">
        <v>233</v>
      </c>
      <c r="C148" s="127"/>
      <c r="D148" s="129">
        <f>TRUNC((SUM(D141:D145)+D147),2)</f>
        <v>3889.12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J152" sqref="J152"/>
    </sheetView>
  </sheetViews>
  <sheetFormatPr defaultColWidth="9.14285714285714" defaultRowHeight="15" outlineLevelCol="6"/>
  <cols>
    <col min="1" max="1" width="15" customWidth="1"/>
    <col min="2" max="2" width="49" customWidth="1"/>
    <col min="3" max="3" width="27.1428571428571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2" t="s">
        <v>177</v>
      </c>
      <c r="B2" s="42"/>
      <c r="C2" s="42"/>
      <c r="D2" s="42"/>
    </row>
    <row r="3" ht="15.75" spans="1:4">
      <c r="A3" s="43" t="s">
        <v>178</v>
      </c>
      <c r="B3" s="43"/>
      <c r="C3" s="43"/>
      <c r="D3" s="43"/>
    </row>
    <row r="4" spans="1:4">
      <c r="A4" s="44" t="s">
        <v>179</v>
      </c>
      <c r="B4" s="45" t="s">
        <v>180</v>
      </c>
      <c r="C4" s="46"/>
      <c r="D4" s="46"/>
    </row>
    <row r="5" spans="1:4">
      <c r="A5" s="47"/>
      <c r="B5" s="48"/>
      <c r="C5" s="48"/>
      <c r="D5" s="48"/>
    </row>
    <row r="6" ht="15.75" spans="1:4">
      <c r="A6" s="49" t="s">
        <v>181</v>
      </c>
      <c r="B6" s="49"/>
      <c r="C6" s="49"/>
      <c r="D6" s="49"/>
    </row>
    <row r="7" ht="15.75" spans="1:4">
      <c r="A7" s="50" t="s">
        <v>42</v>
      </c>
      <c r="B7" s="51" t="s">
        <v>182</v>
      </c>
      <c r="C7" s="52" t="s">
        <v>183</v>
      </c>
      <c r="D7" s="52"/>
    </row>
    <row r="8" spans="1:4">
      <c r="A8" s="53" t="s">
        <v>45</v>
      </c>
      <c r="B8" s="54" t="s">
        <v>184</v>
      </c>
      <c r="C8" s="55" t="s">
        <v>185</v>
      </c>
      <c r="D8" s="55"/>
    </row>
    <row r="9" spans="1:4">
      <c r="A9" s="56" t="s">
        <v>48</v>
      </c>
      <c r="B9" s="57" t="s">
        <v>186</v>
      </c>
      <c r="C9" s="55" t="s">
        <v>187</v>
      </c>
      <c r="D9" s="55"/>
    </row>
    <row r="10" spans="1:4">
      <c r="A10" s="53" t="s">
        <v>53</v>
      </c>
      <c r="B10" s="54" t="s">
        <v>188</v>
      </c>
      <c r="C10" s="55" t="s">
        <v>189</v>
      </c>
      <c r="D10" s="55"/>
    </row>
    <row r="11" ht="15.75" spans="1:4">
      <c r="A11" s="58" t="s">
        <v>190</v>
      </c>
      <c r="B11" s="58"/>
      <c r="C11" s="58"/>
      <c r="D11" s="58"/>
    </row>
    <row r="12" ht="16.5" spans="1:4">
      <c r="A12" s="59" t="s">
        <v>191</v>
      </c>
      <c r="B12" s="59"/>
      <c r="C12" s="58" t="s">
        <v>192</v>
      </c>
      <c r="D12" s="60" t="s">
        <v>193</v>
      </c>
    </row>
    <row r="13" ht="15.75" spans="1:4">
      <c r="A13" s="61" t="s">
        <v>237</v>
      </c>
      <c r="B13" s="61"/>
      <c r="C13" s="55" t="s">
        <v>238</v>
      </c>
      <c r="D13" s="62">
        <f>RESUMO!D5</f>
        <v>1</v>
      </c>
    </row>
    <row r="14" spans="1:4">
      <c r="A14" s="63"/>
      <c r="B14" s="63"/>
      <c r="C14" s="55"/>
      <c r="D14" s="64"/>
    </row>
    <row r="15" ht="15.75" spans="1:7">
      <c r="A15" s="58" t="s">
        <v>14</v>
      </c>
      <c r="B15" s="58"/>
      <c r="C15" s="58"/>
      <c r="D15" s="58"/>
      <c r="F15" s="65"/>
      <c r="G15" s="65"/>
    </row>
    <row r="16" ht="15.75" spans="1:4">
      <c r="A16" s="66" t="s">
        <v>16</v>
      </c>
      <c r="B16" t="s">
        <v>17</v>
      </c>
      <c r="C16" s="66" t="s">
        <v>18</v>
      </c>
      <c r="D16" s="66" t="s">
        <v>19</v>
      </c>
    </row>
    <row r="17" spans="1:6">
      <c r="A17" s="66">
        <v>1</v>
      </c>
      <c r="B17" t="s">
        <v>20</v>
      </c>
      <c r="C17" s="67" t="s">
        <v>102</v>
      </c>
      <c r="D17" s="67" t="str">
        <f>A13</f>
        <v>Agente de Portaria</v>
      </c>
      <c r="F17" s="130"/>
    </row>
    <row r="18" spans="1:4">
      <c r="A18" s="66">
        <v>2</v>
      </c>
      <c r="B18" t="s">
        <v>23</v>
      </c>
      <c r="C18" s="67" t="s">
        <v>196</v>
      </c>
      <c r="D18" s="67" t="s">
        <v>239</v>
      </c>
    </row>
    <row r="19" spans="1:4">
      <c r="A19" s="66">
        <v>3</v>
      </c>
      <c r="B19" t="s">
        <v>26</v>
      </c>
      <c r="C19" s="67" t="str">
        <f>C9</f>
        <v>CCT PB000144/2024</v>
      </c>
      <c r="D19" s="68">
        <v>1429.52</v>
      </c>
    </row>
    <row r="20" spans="1:4">
      <c r="A20" s="66">
        <v>4</v>
      </c>
      <c r="B20" t="s">
        <v>29</v>
      </c>
      <c r="C20" s="67" t="str">
        <f>C9</f>
        <v>CCT PB000144/2024</v>
      </c>
      <c r="D20" s="69" t="s">
        <v>198</v>
      </c>
    </row>
    <row r="21" spans="1:4">
      <c r="A21" s="66">
        <v>5</v>
      </c>
      <c r="B21" t="s">
        <v>33</v>
      </c>
      <c r="C21" s="67" t="str">
        <f>C9</f>
        <v>CCT PB000144/2024</v>
      </c>
      <c r="D21" s="70" t="s">
        <v>199</v>
      </c>
    </row>
    <row r="22" spans="6:7">
      <c r="F22" s="65"/>
      <c r="G22" s="65"/>
    </row>
    <row r="23" spans="1:4">
      <c r="A23" s="49" t="s">
        <v>36</v>
      </c>
      <c r="B23" s="49"/>
      <c r="C23" s="49"/>
      <c r="D23" s="49"/>
    </row>
    <row r="24" spans="1:7">
      <c r="A24" s="66" t="s">
        <v>39</v>
      </c>
      <c r="B24" s="71" t="s">
        <v>40</v>
      </c>
      <c r="C24" s="66" t="s">
        <v>18</v>
      </c>
      <c r="D24" s="66" t="s">
        <v>19</v>
      </c>
      <c r="G24" s="72"/>
    </row>
    <row r="25" spans="1:7">
      <c r="A25" s="66" t="s">
        <v>42</v>
      </c>
      <c r="B25" t="s">
        <v>43</v>
      </c>
      <c r="C25" s="69" t="s">
        <v>240</v>
      </c>
      <c r="D25" s="68">
        <f>D19</f>
        <v>1429.52</v>
      </c>
      <c r="G25" s="72"/>
    </row>
    <row r="26" spans="1:7">
      <c r="A26" s="66" t="s">
        <v>45</v>
      </c>
      <c r="B26" t="s">
        <v>46</v>
      </c>
      <c r="C26" s="69"/>
      <c r="D26" s="68">
        <v>0</v>
      </c>
      <c r="G26" s="72"/>
    </row>
    <row r="27" spans="1:4">
      <c r="A27" s="66" t="s">
        <v>48</v>
      </c>
      <c r="B27" t="s">
        <v>49</v>
      </c>
      <c r="C27" s="69"/>
      <c r="D27" s="68">
        <v>0</v>
      </c>
    </row>
    <row r="28" spans="1:4">
      <c r="A28" s="66" t="s">
        <v>50</v>
      </c>
      <c r="B28" t="s">
        <v>51</v>
      </c>
      <c r="C28" s="69"/>
      <c r="D28" s="68">
        <v>0</v>
      </c>
    </row>
    <row r="29" spans="1:4">
      <c r="A29" s="66" t="s">
        <v>53</v>
      </c>
      <c r="B29" t="s">
        <v>54</v>
      </c>
      <c r="C29" s="69"/>
      <c r="D29" s="68">
        <v>0</v>
      </c>
    </row>
    <row r="30" spans="1:4">
      <c r="A30" s="66" t="s">
        <v>55</v>
      </c>
      <c r="B30" t="s">
        <v>56</v>
      </c>
      <c r="C30" s="69"/>
      <c r="D30" s="68">
        <v>0</v>
      </c>
    </row>
    <row r="31" spans="1:7">
      <c r="A31" s="66" t="s">
        <v>58</v>
      </c>
      <c r="C31" s="66"/>
      <c r="D31" s="73">
        <f>TRUNC((SUM(D25:D30)),2)</f>
        <v>1429.52</v>
      </c>
      <c r="F31" s="65"/>
      <c r="G31" s="65"/>
    </row>
    <row r="33" spans="1:7">
      <c r="A33" s="74" t="s">
        <v>61</v>
      </c>
      <c r="B33" s="74"/>
      <c r="C33" s="74"/>
      <c r="D33" s="74"/>
      <c r="G33" s="72"/>
    </row>
    <row r="35" spans="1:4">
      <c r="A35" s="65" t="s">
        <v>63</v>
      </c>
      <c r="B35" s="65"/>
      <c r="C35" s="65"/>
      <c r="D35" s="65"/>
    </row>
    <row r="36" spans="1:4">
      <c r="A36" s="66" t="s">
        <v>65</v>
      </c>
      <c r="B36" s="71" t="s">
        <v>66</v>
      </c>
      <c r="C36" s="66" t="s">
        <v>38</v>
      </c>
      <c r="D36" s="66" t="s">
        <v>19</v>
      </c>
    </row>
    <row r="37" spans="1:7">
      <c r="A37" s="66" t="s">
        <v>42</v>
      </c>
      <c r="B37" t="s">
        <v>67</v>
      </c>
      <c r="C37" s="75">
        <f>(1/12)</f>
        <v>0.0833333333333333</v>
      </c>
      <c r="D37" s="73">
        <f>TRUNC($D$31*C37,2)</f>
        <v>119.12</v>
      </c>
      <c r="F37" s="76"/>
      <c r="G37" s="76"/>
    </row>
    <row r="38" spans="1:7">
      <c r="A38" s="66" t="s">
        <v>45</v>
      </c>
      <c r="B38" t="s">
        <v>68</v>
      </c>
      <c r="C38" s="75">
        <f>(((1+1/3)/12))</f>
        <v>0.111111111111111</v>
      </c>
      <c r="D38" s="73">
        <f>TRUNC($D$31*C38,2)</f>
        <v>158.83</v>
      </c>
      <c r="F38" s="76"/>
      <c r="G38" s="76"/>
    </row>
    <row r="39" spans="1:7">
      <c r="A39" s="66" t="s">
        <v>58</v>
      </c>
      <c r="D39" s="73">
        <f>TRUNC((SUM(D37:D38)),2)</f>
        <v>277.95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1429.52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277.95</v>
      </c>
      <c r="F42" s="76"/>
      <c r="G42" s="76"/>
    </row>
    <row r="43" ht="16.5" spans="1:7">
      <c r="A43" s="77"/>
      <c r="B43" s="77"/>
      <c r="C43" s="78" t="s">
        <v>204</v>
      </c>
      <c r="D43" s="81">
        <f>TRUNC(SUM(D41:D42),2)</f>
        <v>1707.47</v>
      </c>
      <c r="F43" s="76"/>
      <c r="G43" s="76"/>
    </row>
    <row r="44" ht="15.75" spans="1:7">
      <c r="A44" s="66"/>
      <c r="C44" s="82"/>
      <c r="D44" s="73"/>
      <c r="F44" s="76"/>
      <c r="G44" s="76"/>
    </row>
    <row r="45" spans="1:4">
      <c r="A45" s="65" t="s">
        <v>77</v>
      </c>
      <c r="B45" s="65"/>
      <c r="C45" s="65"/>
      <c r="D45" s="65"/>
    </row>
    <row r="46" spans="1:4">
      <c r="A46" s="66" t="s">
        <v>78</v>
      </c>
      <c r="B46" s="71" t="s">
        <v>79</v>
      </c>
      <c r="C46" s="66" t="s">
        <v>38</v>
      </c>
      <c r="D46" s="66" t="s">
        <v>80</v>
      </c>
    </row>
    <row r="47" spans="1:4">
      <c r="A47" s="66" t="s">
        <v>42</v>
      </c>
      <c r="B47" t="s">
        <v>81</v>
      </c>
      <c r="C47" s="75">
        <v>0.2</v>
      </c>
      <c r="D47" s="131">
        <f t="shared" ref="D47:D54" si="0">TRUNC(($D$43*C47),2)</f>
        <v>341.49</v>
      </c>
    </row>
    <row r="48" spans="1:4">
      <c r="A48" s="66" t="s">
        <v>45</v>
      </c>
      <c r="B48" t="s">
        <v>82</v>
      </c>
      <c r="C48" s="75">
        <v>0.025</v>
      </c>
      <c r="D48" s="131">
        <f t="shared" si="0"/>
        <v>42.68</v>
      </c>
    </row>
    <row r="49" spans="1:4">
      <c r="A49" s="66" t="s">
        <v>48</v>
      </c>
      <c r="B49" t="s">
        <v>205</v>
      </c>
      <c r="C49" s="132">
        <v>0.06</v>
      </c>
      <c r="D49" s="133">
        <f t="shared" si="0"/>
        <v>102.44</v>
      </c>
    </row>
    <row r="50" spans="1:4">
      <c r="A50" s="66" t="s">
        <v>50</v>
      </c>
      <c r="B50" t="s">
        <v>84</v>
      </c>
      <c r="C50" s="75">
        <v>0.015</v>
      </c>
      <c r="D50" s="131">
        <f t="shared" si="0"/>
        <v>25.61</v>
      </c>
    </row>
    <row r="51" spans="1:4">
      <c r="A51" s="66" t="s">
        <v>53</v>
      </c>
      <c r="B51" t="s">
        <v>85</v>
      </c>
      <c r="C51" s="75">
        <v>0.01</v>
      </c>
      <c r="D51" s="131">
        <f t="shared" si="0"/>
        <v>17.07</v>
      </c>
    </row>
    <row r="52" spans="1:4">
      <c r="A52" s="66" t="s">
        <v>55</v>
      </c>
      <c r="B52" t="s">
        <v>86</v>
      </c>
      <c r="C52" s="75">
        <v>0.006</v>
      </c>
      <c r="D52" s="131">
        <f t="shared" si="0"/>
        <v>10.24</v>
      </c>
    </row>
    <row r="53" spans="1:4">
      <c r="A53" s="66" t="s">
        <v>87</v>
      </c>
      <c r="B53" t="s">
        <v>88</v>
      </c>
      <c r="C53" s="75">
        <v>0.002</v>
      </c>
      <c r="D53" s="131">
        <f t="shared" si="0"/>
        <v>3.41</v>
      </c>
    </row>
    <row r="54" spans="1:4">
      <c r="A54" s="66" t="s">
        <v>89</v>
      </c>
      <c r="B54" t="s">
        <v>90</v>
      </c>
      <c r="C54" s="75">
        <v>0.08</v>
      </c>
      <c r="D54" s="131">
        <f t="shared" si="0"/>
        <v>136.59</v>
      </c>
    </row>
    <row r="55" spans="1:4">
      <c r="A55" s="66" t="s">
        <v>58</v>
      </c>
      <c r="C55" s="82">
        <f>SUM(C47:C54)</f>
        <v>0.398</v>
      </c>
      <c r="D55" s="73">
        <f>TRUNC((SUM(D47:D54)),2)</f>
        <v>679.53</v>
      </c>
    </row>
    <row r="56" spans="1:4">
      <c r="A56" s="66"/>
      <c r="C56" s="82"/>
      <c r="D56" s="73"/>
    </row>
    <row r="57" spans="1:4">
      <c r="A57" s="65" t="s">
        <v>95</v>
      </c>
      <c r="B57" s="65"/>
      <c r="C57" s="65"/>
      <c r="D57" s="65"/>
    </row>
    <row r="58" spans="1:4">
      <c r="A58" s="66" t="s">
        <v>96</v>
      </c>
      <c r="B58" s="71" t="s">
        <v>97</v>
      </c>
      <c r="C58" s="66" t="s">
        <v>18</v>
      </c>
      <c r="D58" s="66" t="s">
        <v>19</v>
      </c>
    </row>
    <row r="59" spans="1:4">
      <c r="A59" s="66" t="s">
        <v>42</v>
      </c>
      <c r="B59" t="s">
        <v>98</v>
      </c>
      <c r="C59" s="67"/>
      <c r="D59" s="84">
        <v>0</v>
      </c>
    </row>
    <row r="60" spans="1:4">
      <c r="A60" s="66" t="s">
        <v>45</v>
      </c>
      <c r="B60" t="s">
        <v>99</v>
      </c>
      <c r="C60" s="67" t="str">
        <f>C9</f>
        <v>CCT PB000144/2024</v>
      </c>
      <c r="D60" s="68">
        <f>TRUNC((((550))-(((550))*0.2)),2)</f>
        <v>440</v>
      </c>
    </row>
    <row r="61" spans="1:4">
      <c r="A61" s="66" t="s">
        <v>48</v>
      </c>
      <c r="B61" t="s">
        <v>100</v>
      </c>
      <c r="C61" s="67"/>
      <c r="D61" s="68">
        <v>0</v>
      </c>
    </row>
    <row r="62" spans="1:6">
      <c r="A62" s="85" t="s">
        <v>50</v>
      </c>
      <c r="B62" s="86" t="s">
        <v>206</v>
      </c>
      <c r="C62" s="87"/>
      <c r="D62" s="87">
        <f>TRUNC(((((($D$25+$D$26+$D$28+$D$29)/220)*1.5)*(365/12))/2),2)</f>
        <v>148.23</v>
      </c>
      <c r="F62" s="86"/>
    </row>
    <row r="63" spans="1:4">
      <c r="A63" s="85" t="s">
        <v>53</v>
      </c>
      <c r="B63" s="71" t="s">
        <v>207</v>
      </c>
      <c r="C63" s="67" t="str">
        <f>C9</f>
        <v>CCT PB000144/2024</v>
      </c>
      <c r="D63" s="68">
        <v>22</v>
      </c>
    </row>
    <row r="64" spans="1:4">
      <c r="A64" s="85" t="s">
        <v>55</v>
      </c>
      <c r="B64" s="88" t="s">
        <v>208</v>
      </c>
      <c r="C64" s="67" t="str">
        <f>C9</f>
        <v>CCT PB000144/2024</v>
      </c>
      <c r="D64" s="68">
        <v>6</v>
      </c>
    </row>
    <row r="65" spans="1:4">
      <c r="A65" s="85" t="s">
        <v>87</v>
      </c>
      <c r="B65" s="88" t="s">
        <v>209</v>
      </c>
      <c r="C65" s="87" t="str">
        <f>C9</f>
        <v>CCT PB000144/2024</v>
      </c>
      <c r="D65" s="68">
        <v>44</v>
      </c>
    </row>
    <row r="66" spans="1:4">
      <c r="A66" s="66" t="s">
        <v>58</v>
      </c>
      <c r="D66" s="73">
        <f>TRUNC((SUM(D59:D65)),2)</f>
        <v>660.23</v>
      </c>
    </row>
    <row r="67" spans="1:4">
      <c r="A67" s="66"/>
      <c r="D67" s="73"/>
    </row>
    <row r="68" spans="1:4">
      <c r="A68" s="65" t="s">
        <v>105</v>
      </c>
      <c r="B68" s="65"/>
      <c r="C68" s="65"/>
      <c r="D68" s="65"/>
    </row>
    <row r="69" spans="1:4">
      <c r="A69" s="66" t="s">
        <v>106</v>
      </c>
      <c r="B69" s="71" t="s">
        <v>107</v>
      </c>
      <c r="C69" s="66" t="s">
        <v>18</v>
      </c>
      <c r="D69" s="66" t="s">
        <v>19</v>
      </c>
    </row>
    <row r="70" spans="1:4">
      <c r="A70" s="66" t="s">
        <v>65</v>
      </c>
      <c r="B70" t="s">
        <v>66</v>
      </c>
      <c r="C70" s="66"/>
      <c r="D70" s="73">
        <f>D39</f>
        <v>277.95</v>
      </c>
    </row>
    <row r="71" spans="1:4">
      <c r="A71" s="66" t="s">
        <v>78</v>
      </c>
      <c r="B71" t="s">
        <v>79</v>
      </c>
      <c r="C71" s="66"/>
      <c r="D71" s="73">
        <f>D55</f>
        <v>679.53</v>
      </c>
    </row>
    <row r="72" spans="1:4">
      <c r="A72" s="66" t="s">
        <v>96</v>
      </c>
      <c r="B72" t="s">
        <v>97</v>
      </c>
      <c r="C72" s="66"/>
      <c r="D72" s="73">
        <f>D66</f>
        <v>660.23</v>
      </c>
    </row>
    <row r="73" spans="1:4">
      <c r="A73" s="66" t="s">
        <v>58</v>
      </c>
      <c r="C73" s="66"/>
      <c r="D73" s="73">
        <f>TRUNC((SUM(D70:D72)),2)</f>
        <v>1617.71</v>
      </c>
    </row>
    <row r="75" spans="1:4">
      <c r="A75" s="49" t="s">
        <v>108</v>
      </c>
      <c r="B75" s="49"/>
      <c r="C75" s="49"/>
      <c r="D75" s="49"/>
    </row>
    <row r="76" spans="1:4">
      <c r="A76" s="66" t="s">
        <v>109</v>
      </c>
      <c r="B76" s="71" t="s">
        <v>110</v>
      </c>
      <c r="C76" s="66" t="s">
        <v>38</v>
      </c>
      <c r="D76" s="66" t="s">
        <v>19</v>
      </c>
    </row>
    <row r="77" spans="1:4">
      <c r="A77" s="66" t="s">
        <v>42</v>
      </c>
      <c r="B77" t="s">
        <v>111</v>
      </c>
      <c r="C77" s="89">
        <f>((1/12)*2%)</f>
        <v>0.00166666666666667</v>
      </c>
      <c r="D77" s="68">
        <f>TRUNC(($D$31*C77),2)</f>
        <v>2.38</v>
      </c>
    </row>
    <row r="78" spans="1:4">
      <c r="A78" s="66" t="s">
        <v>45</v>
      </c>
      <c r="B78" t="s">
        <v>112</v>
      </c>
      <c r="C78" s="90">
        <v>0.08</v>
      </c>
      <c r="D78" s="73">
        <f>TRUNC(($D$77*C78),2)</f>
        <v>0.19</v>
      </c>
    </row>
    <row r="79" ht="30" spans="1:4">
      <c r="A79" s="66" t="s">
        <v>48</v>
      </c>
      <c r="B79" s="91" t="s">
        <v>113</v>
      </c>
      <c r="C79" s="83">
        <f>(0.08*0.4*0.02)</f>
        <v>0.00064</v>
      </c>
      <c r="D79" s="87">
        <f>TRUNC(($D$31*C79),2)</f>
        <v>0.91</v>
      </c>
    </row>
    <row r="80" spans="1:4">
      <c r="A80" s="66" t="s">
        <v>50</v>
      </c>
      <c r="B80" t="s">
        <v>114</v>
      </c>
      <c r="C80" s="92">
        <f>(((7/30)/12)*0.98)</f>
        <v>0.0190555555555556</v>
      </c>
      <c r="D80" s="93">
        <f>TRUNC(($D$31*C80),2)</f>
        <v>27.24</v>
      </c>
    </row>
    <row r="81" ht="30" spans="1:4">
      <c r="A81" s="66" t="s">
        <v>53</v>
      </c>
      <c r="B81" s="91" t="s">
        <v>210</v>
      </c>
      <c r="C81" s="83">
        <f>C55</f>
        <v>0.398</v>
      </c>
      <c r="D81" s="87">
        <f>TRUNC(($D$80*C81),2)</f>
        <v>10.84</v>
      </c>
    </row>
    <row r="82" ht="30" spans="1:4">
      <c r="A82" s="66" t="s">
        <v>55</v>
      </c>
      <c r="B82" s="91" t="s">
        <v>115</v>
      </c>
      <c r="C82" s="92">
        <f>(0.08*0.4*0.98)</f>
        <v>0.03136</v>
      </c>
      <c r="D82" s="87">
        <f>TRUNC(($D$31*C82),2)</f>
        <v>44.82</v>
      </c>
    </row>
    <row r="83" spans="1:4">
      <c r="A83" s="66" t="s">
        <v>58</v>
      </c>
      <c r="C83" s="90">
        <f>SUM(C77:C82)</f>
        <v>0.530722222222222</v>
      </c>
      <c r="D83" s="73">
        <f>TRUNC((SUM(D77:D82)),2)</f>
        <v>86.38</v>
      </c>
    </row>
    <row r="84" ht="15.75" spans="1:4">
      <c r="A84" s="66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1429.52</v>
      </c>
    </row>
    <row r="86" ht="16.5" spans="1:4">
      <c r="A86" s="77"/>
      <c r="B86" s="77"/>
      <c r="C86" s="80" t="s">
        <v>212</v>
      </c>
      <c r="D86" s="79">
        <f>D73</f>
        <v>1617.71</v>
      </c>
    </row>
    <row r="87" ht="16.5" spans="1:4">
      <c r="A87" s="77"/>
      <c r="B87" s="77"/>
      <c r="C87" s="78" t="s">
        <v>213</v>
      </c>
      <c r="D87" s="79">
        <f>D83</f>
        <v>86.38</v>
      </c>
    </row>
    <row r="88" ht="16.5" spans="1:4">
      <c r="A88" s="77"/>
      <c r="B88" s="77"/>
      <c r="C88" s="80" t="s">
        <v>204</v>
      </c>
      <c r="D88" s="81">
        <f>TRUNC((SUM(D85:D87)),2)</f>
        <v>3133.61</v>
      </c>
    </row>
    <row r="89" ht="15.75" spans="1:4">
      <c r="A89" s="66"/>
      <c r="D89" s="73"/>
    </row>
    <row r="90" spans="1:4">
      <c r="A90" s="95" t="s">
        <v>127</v>
      </c>
      <c r="B90" s="95"/>
      <c r="C90" s="95"/>
      <c r="D90" s="95"/>
    </row>
    <row r="91" spans="1:4">
      <c r="A91" s="65" t="s">
        <v>128</v>
      </c>
      <c r="B91" s="65"/>
      <c r="C91" s="65"/>
      <c r="D91" s="65"/>
    </row>
    <row r="92" spans="1:4">
      <c r="A92" s="66" t="s">
        <v>129</v>
      </c>
      <c r="B92" s="71" t="s">
        <v>130</v>
      </c>
      <c r="C92" s="66" t="s">
        <v>38</v>
      </c>
      <c r="D92" s="66" t="s">
        <v>19</v>
      </c>
    </row>
    <row r="93" spans="1:4">
      <c r="A93" s="66" t="s">
        <v>42</v>
      </c>
      <c r="B93" t="s">
        <v>214</v>
      </c>
      <c r="C93" s="90">
        <f>(((1+1/3)/12)/12)+((1/12)/12)</f>
        <v>0.0162037037037037</v>
      </c>
      <c r="D93" s="73">
        <f>TRUNC(($D$88*C93),2)</f>
        <v>50.77</v>
      </c>
    </row>
    <row r="94" spans="1:4">
      <c r="A94" s="66" t="s">
        <v>45</v>
      </c>
      <c r="B94" t="s">
        <v>133</v>
      </c>
      <c r="C94" s="89">
        <f>((5/30)/12)</f>
        <v>0.0138888888888889</v>
      </c>
      <c r="D94" s="87">
        <f>TRUNC(($D$88*C94),2)</f>
        <v>43.52</v>
      </c>
    </row>
    <row r="95" spans="1:4">
      <c r="A95" s="66" t="s">
        <v>48</v>
      </c>
      <c r="B95" t="s">
        <v>134</v>
      </c>
      <c r="C95" s="89">
        <f>((5/30)/12)*0.02</f>
        <v>0.000277777777777778</v>
      </c>
      <c r="D95" s="87">
        <f>TRUNC(($D$88*C95),2)</f>
        <v>0.87</v>
      </c>
    </row>
    <row r="96" ht="30" spans="1:4">
      <c r="A96" s="85" t="s">
        <v>50</v>
      </c>
      <c r="B96" s="91" t="s">
        <v>135</v>
      </c>
      <c r="C96" s="83">
        <f>((15/30)/12)*0.08</f>
        <v>0.00333333333333333</v>
      </c>
      <c r="D96" s="87">
        <f>TRUNC(($D$88*C96),2)</f>
        <v>10.44</v>
      </c>
    </row>
    <row r="97" spans="1:4">
      <c r="A97" s="66" t="s">
        <v>53</v>
      </c>
      <c r="B97" t="s">
        <v>136</v>
      </c>
      <c r="C97" s="89">
        <f>((1+1/3)/12)*0.03*((4/12))</f>
        <v>0.00111111111111111</v>
      </c>
      <c r="D97" s="87">
        <f>TRUNC(($D$88*C97),2)</f>
        <v>3.48</v>
      </c>
    </row>
    <row r="98" ht="30" spans="1:4">
      <c r="A98" s="66" t="s">
        <v>55</v>
      </c>
      <c r="B98" s="91" t="s">
        <v>215</v>
      </c>
      <c r="C98" s="96">
        <v>0</v>
      </c>
      <c r="D98" s="87">
        <f>TRUNC($D$88*C98)</f>
        <v>0</v>
      </c>
    </row>
    <row r="99" spans="1:4">
      <c r="A99" s="66" t="s">
        <v>58</v>
      </c>
      <c r="C99" s="90">
        <f>SUM(C93:C98)</f>
        <v>0.0348148148148148</v>
      </c>
      <c r="D99" s="73">
        <f>TRUNC(SUM(D93:D98),2)</f>
        <v>109.08</v>
      </c>
    </row>
    <row r="100" spans="1:4">
      <c r="A100" s="66"/>
      <c r="C100" s="66"/>
      <c r="D100" s="73"/>
    </row>
    <row r="101" spans="1:4">
      <c r="A101" s="65" t="s">
        <v>144</v>
      </c>
      <c r="B101" s="65"/>
      <c r="C101" s="65"/>
      <c r="D101" s="65"/>
    </row>
    <row r="102" spans="1:4">
      <c r="A102" s="66" t="s">
        <v>145</v>
      </c>
      <c r="B102" s="71" t="s">
        <v>146</v>
      </c>
      <c r="C102" s="66" t="s">
        <v>18</v>
      </c>
      <c r="D102" s="66" t="s">
        <v>19</v>
      </c>
    </row>
    <row r="103" ht="90" spans="1:4">
      <c r="A103" s="85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6" t="s">
        <v>58</v>
      </c>
      <c r="C104" s="66"/>
      <c r="D104" s="101" t="str">
        <f>D103</f>
        <v>*=TRUNCAR(($D$86/220)*(1*(365/12))/2)</v>
      </c>
    </row>
    <row r="106" spans="1:4">
      <c r="A106" s="65" t="s">
        <v>148</v>
      </c>
      <c r="B106" s="65"/>
      <c r="C106" s="65"/>
      <c r="D106" s="65"/>
    </row>
    <row r="107" spans="1:4">
      <c r="A107" s="66" t="s">
        <v>149</v>
      </c>
      <c r="B107" s="71" t="s">
        <v>150</v>
      </c>
      <c r="C107" s="66" t="s">
        <v>18</v>
      </c>
      <c r="D107" s="66" t="s">
        <v>19</v>
      </c>
    </row>
    <row r="108" spans="1:4">
      <c r="A108" s="66" t="s">
        <v>129</v>
      </c>
      <c r="B108" t="s">
        <v>130</v>
      </c>
      <c r="D108" s="68">
        <f>D99</f>
        <v>109.08</v>
      </c>
    </row>
    <row r="109" spans="1:4">
      <c r="A109" s="66" t="s">
        <v>145</v>
      </c>
      <c r="B109" t="s">
        <v>151</v>
      </c>
      <c r="C109" s="71"/>
      <c r="D109" s="102" t="str">
        <f>Submódulo4.260_55[[#Totals],[Valor]]</f>
        <v>*=TRUNCAR(($D$86/220)*(1*(365/12))/2)</v>
      </c>
    </row>
    <row r="110" ht="60" spans="1:4">
      <c r="A110" s="85" t="s">
        <v>58</v>
      </c>
      <c r="B110" s="86"/>
      <c r="C110" s="98" t="s">
        <v>218</v>
      </c>
      <c r="D110" s="103">
        <f>TRUNC((SUM(D108:D109)),2)</f>
        <v>109.08</v>
      </c>
    </row>
    <row r="112" spans="1:4">
      <c r="A112" s="49" t="s">
        <v>152</v>
      </c>
      <c r="B112" s="49"/>
      <c r="C112" s="49"/>
      <c r="D112" s="49"/>
    </row>
    <row r="113" spans="1:4">
      <c r="A113" s="85" t="s">
        <v>153</v>
      </c>
      <c r="B113" s="86" t="s">
        <v>154</v>
      </c>
      <c r="C113" s="85" t="s">
        <v>18</v>
      </c>
      <c r="D113" s="85" t="s">
        <v>19</v>
      </c>
    </row>
    <row r="114" spans="1:4">
      <c r="A114" s="66" t="s">
        <v>42</v>
      </c>
      <c r="B114" t="s">
        <v>219</v>
      </c>
      <c r="D114" s="112">
        <f>Uniformes!G41</f>
        <v>143.3</v>
      </c>
    </row>
    <row r="115" spans="1:4">
      <c r="A115" s="66" t="s">
        <v>45</v>
      </c>
      <c r="B115" t="s">
        <v>220</v>
      </c>
      <c r="D115" s="112">
        <v>0</v>
      </c>
    </row>
    <row r="116" spans="1:4">
      <c r="A116" s="66" t="s">
        <v>48</v>
      </c>
      <c r="B116" t="s">
        <v>156</v>
      </c>
      <c r="D116" s="112">
        <f>Materiais!G7</f>
        <v>2.12583333333333</v>
      </c>
    </row>
    <row r="117" spans="1:4">
      <c r="A117" s="66" t="s">
        <v>50</v>
      </c>
      <c r="B117" t="s">
        <v>157</v>
      </c>
      <c r="D117" s="112">
        <v>0</v>
      </c>
    </row>
    <row r="118" spans="1:4">
      <c r="A118" s="66" t="s">
        <v>53</v>
      </c>
      <c r="B118" t="s">
        <v>221</v>
      </c>
      <c r="D118" s="116">
        <f>H116</f>
        <v>0</v>
      </c>
    </row>
    <row r="119" spans="1:4">
      <c r="A119" s="66" t="s">
        <v>58</v>
      </c>
      <c r="D119" s="117">
        <f>TRUNC(SUM(D114:D118),2)</f>
        <v>145.42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1429.52</v>
      </c>
    </row>
    <row r="122" ht="16.5" spans="1:4">
      <c r="A122" s="77"/>
      <c r="B122" s="77"/>
      <c r="C122" s="80" t="s">
        <v>212</v>
      </c>
      <c r="D122" s="79">
        <f>D73</f>
        <v>1617.71</v>
      </c>
    </row>
    <row r="123" ht="16.5" spans="1:4">
      <c r="A123" s="77"/>
      <c r="B123" s="77"/>
      <c r="C123" s="78" t="s">
        <v>213</v>
      </c>
      <c r="D123" s="79">
        <f>D83</f>
        <v>86.38</v>
      </c>
    </row>
    <row r="124" ht="16.5" spans="1:4">
      <c r="A124" s="77"/>
      <c r="B124" s="77"/>
      <c r="C124" s="80" t="s">
        <v>223</v>
      </c>
      <c r="D124" s="79">
        <f>D110</f>
        <v>109.08</v>
      </c>
    </row>
    <row r="125" ht="16.5" spans="1:4">
      <c r="A125" s="77"/>
      <c r="B125" s="77"/>
      <c r="C125" s="78" t="s">
        <v>224</v>
      </c>
      <c r="D125" s="79">
        <f>D119</f>
        <v>145.42</v>
      </c>
    </row>
    <row r="126" ht="16.5" spans="1:4">
      <c r="A126" s="77"/>
      <c r="B126" s="77"/>
      <c r="C126" s="80" t="s">
        <v>204</v>
      </c>
      <c r="D126" s="81">
        <f>TRUNC((SUM(D121:D125)),2)</f>
        <v>3388.11</v>
      </c>
    </row>
    <row r="127" ht="15.75"/>
    <row r="128" ht="15.75" spans="1:7">
      <c r="A128" s="49" t="s">
        <v>164</v>
      </c>
      <c r="B128" s="49"/>
      <c r="C128" s="49"/>
      <c r="D128" s="49"/>
      <c r="F128" s="104" t="s">
        <v>225</v>
      </c>
      <c r="G128" s="104"/>
    </row>
    <row r="129" ht="15.75" spans="1:7">
      <c r="A129" s="66" t="s">
        <v>165</v>
      </c>
      <c r="B129" t="s">
        <v>166</v>
      </c>
      <c r="C129" s="66" t="s">
        <v>38</v>
      </c>
      <c r="D129" s="66" t="s">
        <v>19</v>
      </c>
      <c r="F129" s="119" t="s">
        <v>226</v>
      </c>
      <c r="G129" s="120">
        <f>(C132*100)</f>
        <v>14.25</v>
      </c>
    </row>
    <row r="130" ht="15.75" spans="1:7">
      <c r="A130" s="66" t="s">
        <v>42</v>
      </c>
      <c r="B130" t="s">
        <v>167</v>
      </c>
      <c r="C130" s="134">
        <v>0.02</v>
      </c>
      <c r="D130" s="116">
        <f>TRUNC(($D$126*C130),2)</f>
        <v>67.76</v>
      </c>
      <c r="F130" s="121" t="s">
        <v>227</v>
      </c>
      <c r="G130" s="122">
        <f>TRUNC(SUM(D126,D130,D131),2)</f>
        <v>3524.98</v>
      </c>
    </row>
    <row r="131" ht="15.75" spans="1:7">
      <c r="A131" s="66" t="s">
        <v>45</v>
      </c>
      <c r="B131" t="s">
        <v>59</v>
      </c>
      <c r="C131" s="134">
        <v>0.02</v>
      </c>
      <c r="D131" s="116">
        <f>TRUNC((C131*(D126+D130)),2)</f>
        <v>69.11</v>
      </c>
      <c r="F131" s="119" t="s">
        <v>228</v>
      </c>
      <c r="G131" s="123">
        <f>((100-G129)/100)</f>
        <v>0.8575</v>
      </c>
    </row>
    <row r="132" ht="15.75" spans="1:7">
      <c r="A132" s="66" t="s">
        <v>48</v>
      </c>
      <c r="B132" t="s">
        <v>168</v>
      </c>
      <c r="C132" s="89">
        <f>SUM(C133:C135)</f>
        <v>0.1425</v>
      </c>
      <c r="D132" s="68">
        <f>TRUNC((SUM(D133:D135)),2)</f>
        <v>585.76</v>
      </c>
      <c r="F132" s="121" t="s">
        <v>225</v>
      </c>
      <c r="G132" s="122">
        <f>TRUNC((G130/G131),2)</f>
        <v>4110.76</v>
      </c>
    </row>
    <row r="133" ht="15.75" spans="1:4">
      <c r="A133" s="66"/>
      <c r="B133" t="s">
        <v>229</v>
      </c>
      <c r="C133" s="89">
        <v>0.0165</v>
      </c>
      <c r="D133" s="68">
        <f>TRUNC(($G$132*C133),2)</f>
        <v>67.82</v>
      </c>
    </row>
    <row r="134" spans="1:4">
      <c r="A134" s="66"/>
      <c r="B134" t="s">
        <v>230</v>
      </c>
      <c r="C134" s="89">
        <v>0.076</v>
      </c>
      <c r="D134" s="68">
        <f>TRUNC(($G$132*C134),2)</f>
        <v>312.41</v>
      </c>
    </row>
    <row r="135" spans="1:4">
      <c r="A135" s="66"/>
      <c r="B135" t="s">
        <v>231</v>
      </c>
      <c r="C135" s="89">
        <v>0.05</v>
      </c>
      <c r="D135" s="68">
        <f>TRUNC(($G$132*C135),2)</f>
        <v>205.53</v>
      </c>
    </row>
    <row r="136" spans="1:4">
      <c r="A136" s="66" t="s">
        <v>58</v>
      </c>
      <c r="C136" s="125"/>
      <c r="D136" s="73">
        <f>TRUNC(SUM(D130:D132),2)</f>
        <v>722.63</v>
      </c>
    </row>
    <row r="137" spans="1:4">
      <c r="A137" s="66"/>
      <c r="C137" s="125"/>
      <c r="D137" s="73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3">
        <f>D31</f>
        <v>1429.52</v>
      </c>
    </row>
    <row r="142" spans="1:4">
      <c r="A142" s="66" t="s">
        <v>45</v>
      </c>
      <c r="B142" t="s">
        <v>61</v>
      </c>
      <c r="D142" s="73">
        <f>D73</f>
        <v>1617.71</v>
      </c>
    </row>
    <row r="143" spans="1:4">
      <c r="A143" s="66" t="s">
        <v>48</v>
      </c>
      <c r="B143" t="s">
        <v>108</v>
      </c>
      <c r="D143" s="73">
        <f>D83</f>
        <v>86.38</v>
      </c>
    </row>
    <row r="144" spans="1:4">
      <c r="A144" s="66" t="s">
        <v>50</v>
      </c>
      <c r="B144" t="s">
        <v>174</v>
      </c>
      <c r="D144" s="73">
        <f>D110</f>
        <v>109.08</v>
      </c>
    </row>
    <row r="145" spans="1:4">
      <c r="A145" s="66" t="s">
        <v>53</v>
      </c>
      <c r="B145" t="s">
        <v>152</v>
      </c>
      <c r="D145" s="73">
        <f>D119</f>
        <v>145.42</v>
      </c>
    </row>
    <row r="146" spans="2:4">
      <c r="B146" s="126" t="s">
        <v>232</v>
      </c>
      <c r="D146" s="73">
        <f>TRUNC(SUM(D141:D145),2)</f>
        <v>3388.11</v>
      </c>
    </row>
    <row r="147" spans="1:4">
      <c r="A147" s="66" t="s">
        <v>55</v>
      </c>
      <c r="B147" t="s">
        <v>164</v>
      </c>
      <c r="D147" s="73">
        <f>D136</f>
        <v>722.63</v>
      </c>
    </row>
    <row r="148" spans="1:4">
      <c r="A148" s="127"/>
      <c r="B148" s="128" t="s">
        <v>233</v>
      </c>
      <c r="C148" s="127"/>
      <c r="D148" s="129">
        <f>TRUNC((SUM(D141:D145)+D147),2)</f>
        <v>4110.74</v>
      </c>
    </row>
    <row r="149" spans="1:4">
      <c r="A149" s="135"/>
      <c r="B149" s="136" t="s">
        <v>241</v>
      </c>
      <c r="C149" s="135"/>
      <c r="D149" s="137">
        <f>TRUNC(D148*2,2)</f>
        <v>8221.48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8"/>
  <sheetViews>
    <sheetView workbookViewId="0">
      <selection activeCell="F13" sqref="F13"/>
    </sheetView>
  </sheetViews>
  <sheetFormatPr defaultColWidth="9.14285714285714" defaultRowHeight="15"/>
  <cols>
    <col min="1" max="1" width="17.1428571428571" customWidth="1"/>
    <col min="2" max="2" width="47" customWidth="1"/>
    <col min="3" max="3" width="22.4285714285714" customWidth="1"/>
    <col min="4" max="4" width="36.7142857142857" customWidth="1"/>
    <col min="6" max="6" width="26.8857142857143" customWidth="1"/>
    <col min="7" max="7" width="14.447619047619" customWidth="1"/>
    <col min="8" max="8" width="13.7809523809524" customWidth="1"/>
    <col min="9" max="9" width="12.1142857142857" customWidth="1"/>
  </cols>
  <sheetData>
    <row r="2" ht="19.5" spans="1:4">
      <c r="A2" s="42" t="s">
        <v>177</v>
      </c>
      <c r="B2" s="42"/>
      <c r="C2" s="42"/>
      <c r="D2" s="42"/>
    </row>
    <row r="3" ht="15.75" spans="1:4">
      <c r="A3" s="43" t="s">
        <v>178</v>
      </c>
      <c r="B3" s="43"/>
      <c r="C3" s="43"/>
      <c r="D3" s="43"/>
    </row>
    <row r="4" spans="1:4">
      <c r="A4" s="44" t="s">
        <v>179</v>
      </c>
      <c r="B4" s="45" t="s">
        <v>180</v>
      </c>
      <c r="C4" s="46"/>
      <c r="D4" s="46"/>
    </row>
    <row r="5" spans="1:4">
      <c r="A5" s="47"/>
      <c r="B5" s="48"/>
      <c r="C5" s="48"/>
      <c r="D5" s="48"/>
    </row>
    <row r="6" ht="15.75" spans="1:4">
      <c r="A6" s="49" t="s">
        <v>181</v>
      </c>
      <c r="B6" s="49"/>
      <c r="C6" s="49"/>
      <c r="D6" s="49"/>
    </row>
    <row r="7" ht="15.75" spans="1:4">
      <c r="A7" s="50" t="s">
        <v>42</v>
      </c>
      <c r="B7" s="51" t="s">
        <v>182</v>
      </c>
      <c r="C7" s="52" t="s">
        <v>183</v>
      </c>
      <c r="D7" s="52"/>
    </row>
    <row r="8" spans="1:4">
      <c r="A8" s="53" t="s">
        <v>45</v>
      </c>
      <c r="B8" s="54" t="s">
        <v>184</v>
      </c>
      <c r="C8" s="55" t="s">
        <v>185</v>
      </c>
      <c r="D8" s="55"/>
    </row>
    <row r="9" spans="1:4">
      <c r="A9" s="56" t="s">
        <v>48</v>
      </c>
      <c r="B9" s="57" t="s">
        <v>186</v>
      </c>
      <c r="C9" s="55" t="s">
        <v>187</v>
      </c>
      <c r="D9" s="55"/>
    </row>
    <row r="10" spans="1:4">
      <c r="A10" s="53" t="s">
        <v>53</v>
      </c>
      <c r="B10" s="54" t="s">
        <v>188</v>
      </c>
      <c r="C10" s="55" t="s">
        <v>189</v>
      </c>
      <c r="D10" s="55"/>
    </row>
    <row r="11" ht="15.75" spans="1:4">
      <c r="A11" s="58" t="s">
        <v>190</v>
      </c>
      <c r="B11" s="58"/>
      <c r="C11" s="58"/>
      <c r="D11" s="58"/>
    </row>
    <row r="12" ht="16.5" spans="1:4">
      <c r="A12" s="59" t="s">
        <v>191</v>
      </c>
      <c r="B12" s="59"/>
      <c r="C12" s="58" t="s">
        <v>192</v>
      </c>
      <c r="D12" s="60" t="s">
        <v>193</v>
      </c>
    </row>
    <row r="13" ht="15.75" spans="1:4">
      <c r="A13" s="61" t="s">
        <v>242</v>
      </c>
      <c r="B13" s="61"/>
      <c r="C13" s="55" t="s">
        <v>195</v>
      </c>
      <c r="D13" s="62">
        <v>1</v>
      </c>
    </row>
    <row r="14" spans="1:4">
      <c r="A14" s="63"/>
      <c r="B14" s="63"/>
      <c r="C14" s="55"/>
      <c r="D14" s="64"/>
    </row>
    <row r="15" ht="15.75" spans="1:7">
      <c r="A15" s="58" t="s">
        <v>14</v>
      </c>
      <c r="B15" s="58"/>
      <c r="C15" s="58"/>
      <c r="D15" s="58"/>
      <c r="F15" s="65"/>
      <c r="G15" s="65"/>
    </row>
    <row r="16" ht="15.75" spans="1:4">
      <c r="A16" s="66" t="s">
        <v>16</v>
      </c>
      <c r="B16" t="s">
        <v>17</v>
      </c>
      <c r="C16" s="66" t="s">
        <v>18</v>
      </c>
      <c r="D16" s="66" t="s">
        <v>19</v>
      </c>
    </row>
    <row r="17" spans="1:4">
      <c r="A17" s="66">
        <v>1</v>
      </c>
      <c r="B17" t="s">
        <v>20</v>
      </c>
      <c r="C17" s="67" t="s">
        <v>102</v>
      </c>
      <c r="D17" s="67" t="str">
        <f>A13</f>
        <v>Motorista</v>
      </c>
    </row>
    <row r="18" spans="1:4">
      <c r="A18" s="66">
        <v>2</v>
      </c>
      <c r="B18" t="s">
        <v>23</v>
      </c>
      <c r="C18" s="67" t="s">
        <v>196</v>
      </c>
      <c r="D18" s="67" t="s">
        <v>197</v>
      </c>
    </row>
    <row r="19" spans="1:4">
      <c r="A19" s="66">
        <v>3</v>
      </c>
      <c r="B19" t="s">
        <v>26</v>
      </c>
      <c r="C19" s="67" t="str">
        <f>C9</f>
        <v>CCT PB000144/2024</v>
      </c>
      <c r="D19" s="68">
        <v>2418.67</v>
      </c>
    </row>
    <row r="20" spans="1:4">
      <c r="A20" s="66">
        <v>4</v>
      </c>
      <c r="B20" t="s">
        <v>29</v>
      </c>
      <c r="C20" s="67" t="str">
        <f>C9</f>
        <v>CCT PB000144/2024</v>
      </c>
      <c r="D20" s="69" t="s">
        <v>198</v>
      </c>
    </row>
    <row r="21" spans="1:4">
      <c r="A21" s="66">
        <v>5</v>
      </c>
      <c r="B21" t="s">
        <v>33</v>
      </c>
      <c r="C21" s="67" t="str">
        <f>C9</f>
        <v>CCT PB000144/2024</v>
      </c>
      <c r="D21" s="70" t="s">
        <v>199</v>
      </c>
    </row>
    <row r="22" spans="6:7">
      <c r="F22" s="65"/>
      <c r="G22" s="65"/>
    </row>
    <row r="23" spans="1:4">
      <c r="A23" s="49" t="s">
        <v>36</v>
      </c>
      <c r="B23" s="49"/>
      <c r="C23" s="49"/>
      <c r="D23" s="49"/>
    </row>
    <row r="24" spans="1:7">
      <c r="A24" s="66" t="s">
        <v>39</v>
      </c>
      <c r="B24" s="71" t="s">
        <v>40</v>
      </c>
      <c r="C24" s="66" t="s">
        <v>18</v>
      </c>
      <c r="D24" s="66" t="s">
        <v>19</v>
      </c>
      <c r="G24" s="72"/>
    </row>
    <row r="25" spans="1:7">
      <c r="A25" s="66" t="s">
        <v>42</v>
      </c>
      <c r="B25" t="s">
        <v>43</v>
      </c>
      <c r="C25" s="69" t="s">
        <v>243</v>
      </c>
      <c r="D25" s="68">
        <f>D19</f>
        <v>2418.67</v>
      </c>
      <c r="G25" s="72"/>
    </row>
    <row r="26" spans="1:7">
      <c r="A26" s="66" t="s">
        <v>45</v>
      </c>
      <c r="B26" t="s">
        <v>46</v>
      </c>
      <c r="C26" s="69"/>
      <c r="D26" s="68">
        <v>0</v>
      </c>
      <c r="G26" s="72"/>
    </row>
    <row r="27" spans="1:4">
      <c r="A27" s="66" t="s">
        <v>48</v>
      </c>
      <c r="B27" t="s">
        <v>49</v>
      </c>
      <c r="C27" s="69"/>
      <c r="D27" s="68">
        <v>0</v>
      </c>
    </row>
    <row r="28" spans="1:4">
      <c r="A28" s="66" t="s">
        <v>50</v>
      </c>
      <c r="B28" t="s">
        <v>51</v>
      </c>
      <c r="C28" s="69"/>
      <c r="D28" s="68">
        <v>0</v>
      </c>
    </row>
    <row r="29" spans="1:4">
      <c r="A29" s="66" t="s">
        <v>53</v>
      </c>
      <c r="B29" t="s">
        <v>54</v>
      </c>
      <c r="C29" s="69"/>
      <c r="D29" s="68">
        <v>0</v>
      </c>
    </row>
    <row r="30" spans="1:4">
      <c r="A30" s="66" t="s">
        <v>55</v>
      </c>
      <c r="B30" t="s">
        <v>56</v>
      </c>
      <c r="C30" s="69"/>
      <c r="D30" s="68">
        <v>0</v>
      </c>
    </row>
    <row r="31" spans="1:7">
      <c r="A31" s="66" t="s">
        <v>58</v>
      </c>
      <c r="C31" s="66"/>
      <c r="D31" s="73">
        <f>TRUNC((SUM(D25:D30)),2)</f>
        <v>2418.67</v>
      </c>
      <c r="F31" s="65"/>
      <c r="G31" s="65"/>
    </row>
    <row r="33" spans="1:7">
      <c r="A33" s="74" t="s">
        <v>61</v>
      </c>
      <c r="B33" s="74"/>
      <c r="C33" s="74"/>
      <c r="D33" s="74"/>
      <c r="G33" s="72"/>
    </row>
    <row r="35" spans="1:4">
      <c r="A35" s="65" t="s">
        <v>63</v>
      </c>
      <c r="B35" s="65"/>
      <c r="C35" s="65"/>
      <c r="D35" s="65"/>
    </row>
    <row r="36" spans="1:4">
      <c r="A36" s="66" t="s">
        <v>65</v>
      </c>
      <c r="B36" s="71" t="s">
        <v>66</v>
      </c>
      <c r="C36" s="66" t="s">
        <v>38</v>
      </c>
      <c r="D36" s="66" t="s">
        <v>19</v>
      </c>
    </row>
    <row r="37" spans="1:7">
      <c r="A37" s="66" t="s">
        <v>42</v>
      </c>
      <c r="B37" t="s">
        <v>67</v>
      </c>
      <c r="C37" s="75">
        <f>(1/12)</f>
        <v>0.0833333333333333</v>
      </c>
      <c r="D37" s="73">
        <f>TRUNC($D$31*C37,2)</f>
        <v>201.55</v>
      </c>
      <c r="F37" s="76"/>
      <c r="G37" s="76"/>
    </row>
    <row r="38" spans="1:7">
      <c r="A38" s="66" t="s">
        <v>45</v>
      </c>
      <c r="B38" t="s">
        <v>68</v>
      </c>
      <c r="C38" s="75">
        <f>(((1+1/3)/12))</f>
        <v>0.111111111111111</v>
      </c>
      <c r="D38" s="73">
        <f>TRUNC($D$31*C38,2)</f>
        <v>268.74</v>
      </c>
      <c r="F38" s="76"/>
      <c r="G38" s="76"/>
    </row>
    <row r="39" spans="1:7">
      <c r="A39" s="66" t="s">
        <v>58</v>
      </c>
      <c r="D39" s="73">
        <f>TRUNC((SUM(D37:D38)),2)</f>
        <v>470.29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2418.67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470.29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2888.96</v>
      </c>
      <c r="F43" s="76"/>
      <c r="G43" s="76"/>
    </row>
    <row r="44" ht="15.75" spans="1:7">
      <c r="A44" s="66"/>
      <c r="C44" s="82"/>
      <c r="D44" s="73"/>
      <c r="F44" s="76"/>
      <c r="G44" s="76"/>
    </row>
    <row r="45" spans="1:4">
      <c r="A45" s="65" t="s">
        <v>77</v>
      </c>
      <c r="B45" s="65"/>
      <c r="C45" s="65"/>
      <c r="D45" s="65"/>
    </row>
    <row r="46" spans="1:4">
      <c r="A46" s="66" t="s">
        <v>78</v>
      </c>
      <c r="B46" s="71" t="s">
        <v>79</v>
      </c>
      <c r="C46" s="66" t="s">
        <v>38</v>
      </c>
      <c r="D46" s="66" t="s">
        <v>80</v>
      </c>
    </row>
    <row r="47" spans="1:4">
      <c r="A47" s="66" t="s">
        <v>42</v>
      </c>
      <c r="B47" t="s">
        <v>81</v>
      </c>
      <c r="C47" s="75">
        <v>0.2</v>
      </c>
      <c r="D47" s="73">
        <f t="shared" ref="D47:D54" si="0">TRUNC(($D$43*C47),2)</f>
        <v>577.79</v>
      </c>
    </row>
    <row r="48" spans="1:4">
      <c r="A48" s="66" t="s">
        <v>45</v>
      </c>
      <c r="B48" t="s">
        <v>82</v>
      </c>
      <c r="C48" s="75">
        <v>0.025</v>
      </c>
      <c r="D48" s="73">
        <f t="shared" si="0"/>
        <v>72.22</v>
      </c>
    </row>
    <row r="49" spans="1:4">
      <c r="A49" s="66" t="s">
        <v>48</v>
      </c>
      <c r="B49" t="s">
        <v>205</v>
      </c>
      <c r="C49" s="83">
        <v>0.06</v>
      </c>
      <c r="D49" s="68">
        <f t="shared" si="0"/>
        <v>173.33</v>
      </c>
    </row>
    <row r="50" spans="1:4">
      <c r="A50" s="66" t="s">
        <v>50</v>
      </c>
      <c r="B50" t="s">
        <v>84</v>
      </c>
      <c r="C50" s="75">
        <v>0.015</v>
      </c>
      <c r="D50" s="73">
        <f t="shared" si="0"/>
        <v>43.33</v>
      </c>
    </row>
    <row r="51" spans="1:4">
      <c r="A51" s="66" t="s">
        <v>53</v>
      </c>
      <c r="B51" t="s">
        <v>85</v>
      </c>
      <c r="C51" s="75">
        <v>0.01</v>
      </c>
      <c r="D51" s="73">
        <f t="shared" si="0"/>
        <v>28.88</v>
      </c>
    </row>
    <row r="52" spans="1:4">
      <c r="A52" s="66" t="s">
        <v>55</v>
      </c>
      <c r="B52" t="s">
        <v>86</v>
      </c>
      <c r="C52" s="75">
        <v>0.006</v>
      </c>
      <c r="D52" s="73">
        <f t="shared" si="0"/>
        <v>17.33</v>
      </c>
    </row>
    <row r="53" spans="1:4">
      <c r="A53" s="66" t="s">
        <v>87</v>
      </c>
      <c r="B53" t="s">
        <v>88</v>
      </c>
      <c r="C53" s="75">
        <v>0.002</v>
      </c>
      <c r="D53" s="73">
        <f t="shared" si="0"/>
        <v>5.77</v>
      </c>
    </row>
    <row r="54" spans="1:4">
      <c r="A54" s="66" t="s">
        <v>89</v>
      </c>
      <c r="B54" t="s">
        <v>90</v>
      </c>
      <c r="C54" s="75">
        <v>0.08</v>
      </c>
      <c r="D54" s="73">
        <f t="shared" si="0"/>
        <v>231.11</v>
      </c>
    </row>
    <row r="55" spans="1:4">
      <c r="A55" s="66" t="s">
        <v>58</v>
      </c>
      <c r="C55" s="82">
        <f>SUM(C47:C54)</f>
        <v>0.398</v>
      </c>
      <c r="D55" s="73">
        <f>TRUNC(SUM(D47:D54),2)</f>
        <v>1149.76</v>
      </c>
    </row>
    <row r="56" spans="1:4">
      <c r="A56" s="66"/>
      <c r="C56" s="82"/>
      <c r="D56" s="73"/>
    </row>
    <row r="57" spans="1:4">
      <c r="A57" s="65" t="s">
        <v>95</v>
      </c>
      <c r="B57" s="65"/>
      <c r="C57" s="65"/>
      <c r="D57" s="65"/>
    </row>
    <row r="58" spans="1:4">
      <c r="A58" s="66" t="s">
        <v>96</v>
      </c>
      <c r="B58" s="71" t="s">
        <v>97</v>
      </c>
      <c r="C58" s="66" t="s">
        <v>18</v>
      </c>
      <c r="D58" s="66" t="s">
        <v>19</v>
      </c>
    </row>
    <row r="59" spans="1:4">
      <c r="A59" s="66" t="s">
        <v>42</v>
      </c>
      <c r="B59" t="s">
        <v>98</v>
      </c>
      <c r="C59" s="67"/>
      <c r="D59" s="84">
        <v>0</v>
      </c>
    </row>
    <row r="60" spans="1:4">
      <c r="A60" s="66" t="s">
        <v>45</v>
      </c>
      <c r="B60" t="s">
        <v>99</v>
      </c>
      <c r="C60" s="67" t="str">
        <f>C9</f>
        <v>CCT PB000144/2024</v>
      </c>
      <c r="D60" s="68">
        <f>TRUNC((((550))-(((550))*0.2)),2)</f>
        <v>440</v>
      </c>
    </row>
    <row r="61" spans="1:4">
      <c r="A61" s="66" t="s">
        <v>48</v>
      </c>
      <c r="B61" t="s">
        <v>100</v>
      </c>
      <c r="C61" s="67"/>
      <c r="D61" s="68">
        <v>0</v>
      </c>
    </row>
    <row r="62" spans="1:6">
      <c r="A62" s="85" t="s">
        <v>50</v>
      </c>
      <c r="B62" s="86" t="s">
        <v>206</v>
      </c>
      <c r="C62" s="87"/>
      <c r="D62" s="87">
        <v>0</v>
      </c>
      <c r="F62" s="86"/>
    </row>
    <row r="63" spans="1:4">
      <c r="A63" s="85" t="s">
        <v>53</v>
      </c>
      <c r="B63" s="71" t="s">
        <v>207</v>
      </c>
      <c r="C63" s="67" t="str">
        <f>C9</f>
        <v>CCT PB000144/2024</v>
      </c>
      <c r="D63" s="68">
        <v>22</v>
      </c>
    </row>
    <row r="64" spans="1:4">
      <c r="A64" s="85" t="s">
        <v>55</v>
      </c>
      <c r="B64" s="88" t="s">
        <v>208</v>
      </c>
      <c r="C64" s="67" t="str">
        <f>C9</f>
        <v>CCT PB000144/2024</v>
      </c>
      <c r="D64" s="68">
        <v>6</v>
      </c>
    </row>
    <row r="65" spans="1:4">
      <c r="A65" s="85" t="s">
        <v>87</v>
      </c>
      <c r="B65" s="88" t="s">
        <v>209</v>
      </c>
      <c r="C65" s="87" t="str">
        <f>C9</f>
        <v>CCT PB000144/2024</v>
      </c>
      <c r="D65" s="68">
        <v>44</v>
      </c>
    </row>
    <row r="66" spans="1:4">
      <c r="A66" s="66" t="s">
        <v>58</v>
      </c>
      <c r="D66" s="73">
        <f>TRUNC((SUM(D59:D65)),2)</f>
        <v>512</v>
      </c>
    </row>
    <row r="67" spans="1:4">
      <c r="A67" s="66"/>
      <c r="D67" s="73"/>
    </row>
    <row r="68" spans="1:4">
      <c r="A68" s="65" t="s">
        <v>105</v>
      </c>
      <c r="B68" s="65"/>
      <c r="C68" s="65"/>
      <c r="D68" s="65"/>
    </row>
    <row r="69" spans="1:4">
      <c r="A69" s="66" t="s">
        <v>106</v>
      </c>
      <c r="B69" s="71" t="s">
        <v>107</v>
      </c>
      <c r="C69" s="66" t="s">
        <v>18</v>
      </c>
      <c r="D69" s="66" t="s">
        <v>19</v>
      </c>
    </row>
    <row r="70" spans="1:4">
      <c r="A70" s="66" t="s">
        <v>65</v>
      </c>
      <c r="B70" t="s">
        <v>66</v>
      </c>
      <c r="C70" s="66"/>
      <c r="D70" s="73">
        <f>D39</f>
        <v>470.29</v>
      </c>
    </row>
    <row r="71" spans="1:4">
      <c r="A71" s="66" t="s">
        <v>78</v>
      </c>
      <c r="B71" t="s">
        <v>79</v>
      </c>
      <c r="C71" s="66"/>
      <c r="D71" s="73">
        <f>D55</f>
        <v>1149.76</v>
      </c>
    </row>
    <row r="72" spans="1:4">
      <c r="A72" s="66" t="s">
        <v>96</v>
      </c>
      <c r="B72" t="s">
        <v>97</v>
      </c>
      <c r="C72" s="66"/>
      <c r="D72" s="73">
        <f>D66</f>
        <v>512</v>
      </c>
    </row>
    <row r="73" spans="1:4">
      <c r="A73" s="66" t="s">
        <v>58</v>
      </c>
      <c r="C73" s="66"/>
      <c r="D73" s="73">
        <f>TRUNC((SUM(D70:D72)),2)</f>
        <v>2132.05</v>
      </c>
    </row>
    <row r="75" spans="1:4">
      <c r="A75" s="49" t="s">
        <v>108</v>
      </c>
      <c r="B75" s="49"/>
      <c r="C75" s="49"/>
      <c r="D75" s="49"/>
    </row>
    <row r="76" spans="1:4">
      <c r="A76" s="66" t="s">
        <v>109</v>
      </c>
      <c r="B76" s="71" t="s">
        <v>110</v>
      </c>
      <c r="C76" s="66" t="s">
        <v>38</v>
      </c>
      <c r="D76" s="66" t="s">
        <v>19</v>
      </c>
    </row>
    <row r="77" spans="1:4">
      <c r="A77" s="66" t="s">
        <v>42</v>
      </c>
      <c r="B77" t="s">
        <v>111</v>
      </c>
      <c r="C77" s="89">
        <f>((1/12)*2%)</f>
        <v>0.00166666666666667</v>
      </c>
      <c r="D77" s="68">
        <f t="shared" ref="D77:D80" si="1">TRUNC(($D$31*C77),2)</f>
        <v>4.03</v>
      </c>
    </row>
    <row r="78" spans="1:4">
      <c r="A78" s="66" t="s">
        <v>45</v>
      </c>
      <c r="B78" t="s">
        <v>112</v>
      </c>
      <c r="C78" s="90">
        <v>0.08</v>
      </c>
      <c r="D78" s="73">
        <f>TRUNC(($D$77*C78),2)</f>
        <v>0.32</v>
      </c>
    </row>
    <row r="79" ht="30" spans="1:4">
      <c r="A79" s="66" t="s">
        <v>48</v>
      </c>
      <c r="B79" s="91" t="s">
        <v>113</v>
      </c>
      <c r="C79" s="83">
        <f>(0.08*0.4*0.02)</f>
        <v>0.00064</v>
      </c>
      <c r="D79" s="87">
        <f t="shared" si="1"/>
        <v>1.54</v>
      </c>
    </row>
    <row r="80" spans="1:4">
      <c r="A80" s="66" t="s">
        <v>50</v>
      </c>
      <c r="B80" t="s">
        <v>114</v>
      </c>
      <c r="C80" s="92">
        <f>(((7/30)/12)*0.98)</f>
        <v>0.0190555555555556</v>
      </c>
      <c r="D80" s="93">
        <f t="shared" si="1"/>
        <v>46.08</v>
      </c>
    </row>
    <row r="81" ht="30" spans="1:4">
      <c r="A81" s="66" t="s">
        <v>53</v>
      </c>
      <c r="B81" s="91" t="s">
        <v>210</v>
      </c>
      <c r="C81" s="83">
        <f>C55</f>
        <v>0.398</v>
      </c>
      <c r="D81" s="87">
        <f>TRUNC(($D$80*C81),2)</f>
        <v>18.33</v>
      </c>
    </row>
    <row r="82" ht="30" spans="1:4">
      <c r="A82" s="66" t="s">
        <v>55</v>
      </c>
      <c r="B82" s="91" t="s">
        <v>115</v>
      </c>
      <c r="C82" s="92">
        <f>(0.08*0.4*0.98)</f>
        <v>0.03136</v>
      </c>
      <c r="D82" s="94">
        <f>TRUNC(($D$31*C82),2)</f>
        <v>75.84</v>
      </c>
    </row>
    <row r="83" spans="1:4">
      <c r="A83" s="66" t="s">
        <v>58</v>
      </c>
      <c r="C83" s="90">
        <f>SUM(C77:C82)</f>
        <v>0.530722222222222</v>
      </c>
      <c r="D83" s="73">
        <f>TRUNC((SUM(D77:D82)),2)</f>
        <v>146.14</v>
      </c>
    </row>
    <row r="84" ht="15.75" spans="1:4">
      <c r="A84" s="66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2418.67</v>
      </c>
    </row>
    <row r="86" ht="16.5" spans="1:4">
      <c r="A86" s="77"/>
      <c r="B86" s="77"/>
      <c r="C86" s="80" t="s">
        <v>212</v>
      </c>
      <c r="D86" s="79">
        <f>D73</f>
        <v>2132.05</v>
      </c>
    </row>
    <row r="87" ht="16.5" spans="1:4">
      <c r="A87" s="77"/>
      <c r="B87" s="77"/>
      <c r="C87" s="78" t="s">
        <v>213</v>
      </c>
      <c r="D87" s="79">
        <f>D83</f>
        <v>146.14</v>
      </c>
    </row>
    <row r="88" ht="16.5" spans="1:4">
      <c r="A88" s="77"/>
      <c r="B88" s="77"/>
      <c r="C88" s="80" t="s">
        <v>204</v>
      </c>
      <c r="D88" s="81">
        <f>TRUNC((SUM(D85:D87)),2)</f>
        <v>4696.86</v>
      </c>
    </row>
    <row r="89" ht="15.75" spans="1:4">
      <c r="A89" s="66"/>
      <c r="D89" s="73"/>
    </row>
    <row r="90" spans="1:4">
      <c r="A90" s="95" t="s">
        <v>127</v>
      </c>
      <c r="B90" s="95"/>
      <c r="C90" s="95"/>
      <c r="D90" s="95"/>
    </row>
    <row r="91" spans="1:4">
      <c r="A91" s="65" t="s">
        <v>128</v>
      </c>
      <c r="B91" s="65"/>
      <c r="C91" s="65"/>
      <c r="D91" s="65"/>
    </row>
    <row r="92" spans="1:4">
      <c r="A92" s="66" t="s">
        <v>129</v>
      </c>
      <c r="B92" s="71" t="s">
        <v>130</v>
      </c>
      <c r="C92" s="66" t="s">
        <v>38</v>
      </c>
      <c r="D92" s="66" t="s">
        <v>19</v>
      </c>
    </row>
    <row r="93" spans="1:4">
      <c r="A93" s="66" t="s">
        <v>42</v>
      </c>
      <c r="B93" t="s">
        <v>214</v>
      </c>
      <c r="C93" s="90">
        <f>(((1+1/3)/12)/12)+((1/12)/12)</f>
        <v>0.0162037037037037</v>
      </c>
      <c r="D93" s="73">
        <f t="shared" ref="D93:D97" si="2">TRUNC(($D$88*C93),2)</f>
        <v>76.1</v>
      </c>
    </row>
    <row r="94" spans="1:4">
      <c r="A94" s="66" t="s">
        <v>45</v>
      </c>
      <c r="B94" t="s">
        <v>133</v>
      </c>
      <c r="C94" s="89">
        <f>((5/30)/12)</f>
        <v>0.0138888888888889</v>
      </c>
      <c r="D94" s="87">
        <f t="shared" si="2"/>
        <v>65.23</v>
      </c>
    </row>
    <row r="95" spans="1:4">
      <c r="A95" s="66" t="s">
        <v>48</v>
      </c>
      <c r="B95" t="s">
        <v>134</v>
      </c>
      <c r="C95" s="89">
        <f>((5/30)/12)*0.02</f>
        <v>0.000277777777777778</v>
      </c>
      <c r="D95" s="87">
        <f t="shared" si="2"/>
        <v>1.3</v>
      </c>
    </row>
    <row r="96" ht="30" spans="1:4">
      <c r="A96" s="85" t="s">
        <v>50</v>
      </c>
      <c r="B96" s="91" t="s">
        <v>135</v>
      </c>
      <c r="C96" s="83">
        <f>((15/30)/12)*0.08</f>
        <v>0.00333333333333333</v>
      </c>
      <c r="D96" s="87">
        <f t="shared" si="2"/>
        <v>15.65</v>
      </c>
    </row>
    <row r="97" spans="1:4">
      <c r="A97" s="66" t="s">
        <v>53</v>
      </c>
      <c r="B97" t="s">
        <v>136</v>
      </c>
      <c r="C97" s="89">
        <f>((1+1/3)/12)*0.03*((4/12))</f>
        <v>0.00111111111111111</v>
      </c>
      <c r="D97" s="87">
        <f t="shared" si="2"/>
        <v>5.21</v>
      </c>
    </row>
    <row r="98" ht="30" spans="1:4">
      <c r="A98" s="66" t="s">
        <v>55</v>
      </c>
      <c r="B98" s="91" t="s">
        <v>215</v>
      </c>
      <c r="C98" s="96">
        <v>0</v>
      </c>
      <c r="D98" s="87">
        <f>TRUNC($D$88*C98)</f>
        <v>0</v>
      </c>
    </row>
    <row r="99" spans="1:4">
      <c r="A99" s="66" t="s">
        <v>58</v>
      </c>
      <c r="C99" s="90">
        <f>SUM(C93:C98)</f>
        <v>0.0348148148148148</v>
      </c>
      <c r="D99" s="73">
        <f>TRUNC((SUM(D93:D98)),2)</f>
        <v>163.49</v>
      </c>
    </row>
    <row r="100" spans="1:4">
      <c r="A100" s="66"/>
      <c r="C100" s="66"/>
      <c r="D100" s="73"/>
    </row>
    <row r="101" spans="1:4">
      <c r="A101" s="65" t="s">
        <v>144</v>
      </c>
      <c r="B101" s="65"/>
      <c r="C101" s="65"/>
      <c r="D101" s="65"/>
    </row>
    <row r="102" spans="1:4">
      <c r="A102" s="66" t="s">
        <v>145</v>
      </c>
      <c r="B102" s="71" t="s">
        <v>146</v>
      </c>
      <c r="C102" s="66" t="s">
        <v>18</v>
      </c>
      <c r="D102" s="66" t="s">
        <v>19</v>
      </c>
    </row>
    <row r="103" ht="30" customHeight="1" spans="1:4">
      <c r="A103" s="85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6" t="s">
        <v>58</v>
      </c>
      <c r="C104" s="100"/>
      <c r="D104" s="101" t="str">
        <f>D103</f>
        <v>*=TRUNCAR(($D$86/220)*(1*(365/12))/2)</v>
      </c>
    </row>
    <row r="106" spans="1:4">
      <c r="A106" s="65" t="s">
        <v>148</v>
      </c>
      <c r="B106" s="65"/>
      <c r="C106" s="65"/>
      <c r="D106" s="65"/>
    </row>
    <row r="107" spans="1:4">
      <c r="A107" s="66" t="s">
        <v>149</v>
      </c>
      <c r="B107" s="71" t="s">
        <v>150</v>
      </c>
      <c r="C107" s="66" t="s">
        <v>18</v>
      </c>
      <c r="D107" s="66" t="s">
        <v>19</v>
      </c>
    </row>
    <row r="108" spans="1:4">
      <c r="A108" s="66" t="s">
        <v>129</v>
      </c>
      <c r="B108" t="s">
        <v>130</v>
      </c>
      <c r="D108" s="68">
        <f>D99</f>
        <v>163.49</v>
      </c>
    </row>
    <row r="109" spans="1:4">
      <c r="A109" s="66" t="s">
        <v>145</v>
      </c>
      <c r="B109" t="s">
        <v>151</v>
      </c>
      <c r="C109" s="71"/>
      <c r="D109" s="102" t="str">
        <f>Submódulo4.260_5510722[[#Totals],[Valor]]</f>
        <v>*=TRUNCAR(($D$86/220)*(1*(365/12))/2)</v>
      </c>
    </row>
    <row r="110" ht="22" customHeight="1" spans="1:4">
      <c r="A110" s="85" t="s">
        <v>58</v>
      </c>
      <c r="B110" s="86"/>
      <c r="C110" s="98" t="s">
        <v>218</v>
      </c>
      <c r="D110" s="103">
        <f>TRUNC((SUM(D108:D109)),2)</f>
        <v>163.49</v>
      </c>
    </row>
    <row r="111" ht="30.75" spans="6:9">
      <c r="F111" s="104" t="s">
        <v>244</v>
      </c>
      <c r="G111" s="105" t="s">
        <v>245</v>
      </c>
      <c r="H111" s="105" t="s">
        <v>246</v>
      </c>
      <c r="I111" s="105" t="s">
        <v>247</v>
      </c>
    </row>
    <row r="112" ht="31.5" spans="1:9">
      <c r="A112" s="49" t="s">
        <v>152</v>
      </c>
      <c r="B112" s="49"/>
      <c r="C112" s="49"/>
      <c r="D112" s="49"/>
      <c r="F112" s="106" t="s">
        <v>248</v>
      </c>
      <c r="G112" s="107">
        <v>40</v>
      </c>
      <c r="H112" s="108">
        <v>86</v>
      </c>
      <c r="I112" s="108">
        <f>TRUNC(H112*G112,2)</f>
        <v>3440</v>
      </c>
    </row>
    <row r="113" ht="31.5" spans="1:9">
      <c r="A113" s="85" t="s">
        <v>153</v>
      </c>
      <c r="B113" s="86" t="s">
        <v>154</v>
      </c>
      <c r="C113" s="85" t="s">
        <v>18</v>
      </c>
      <c r="D113" s="85" t="s">
        <v>19</v>
      </c>
      <c r="F113" s="109" t="s">
        <v>249</v>
      </c>
      <c r="G113" s="110">
        <v>80</v>
      </c>
      <c r="H113" s="111">
        <v>172</v>
      </c>
      <c r="I113" s="108">
        <f>TRUNC(H113*G113,2)</f>
        <v>13760</v>
      </c>
    </row>
    <row r="114" ht="15.75" spans="1:9">
      <c r="A114" s="66" t="s">
        <v>42</v>
      </c>
      <c r="B114" t="s">
        <v>219</v>
      </c>
      <c r="D114" s="112">
        <f>Uniformes!G55</f>
        <v>124.3</v>
      </c>
      <c r="F114" s="113" t="s">
        <v>250</v>
      </c>
      <c r="G114" s="114"/>
      <c r="H114" s="115">
        <f>TRUNC(SUM(I112:I113),2)</f>
        <v>17200</v>
      </c>
      <c r="I114" s="118"/>
    </row>
    <row r="115" spans="1:9">
      <c r="A115" s="66" t="s">
        <v>45</v>
      </c>
      <c r="B115" t="s">
        <v>220</v>
      </c>
      <c r="D115" s="116">
        <v>0</v>
      </c>
      <c r="F115" s="113" t="s">
        <v>251</v>
      </c>
      <c r="G115" s="114"/>
      <c r="H115" s="115">
        <f>TRUNC(H114/12,2)</f>
        <v>1433.33</v>
      </c>
      <c r="I115" s="118"/>
    </row>
    <row r="116" spans="1:6">
      <c r="A116" s="66" t="s">
        <v>48</v>
      </c>
      <c r="B116" t="s">
        <v>156</v>
      </c>
      <c r="D116" s="116">
        <v>0</v>
      </c>
      <c r="F116" t="s">
        <v>252</v>
      </c>
    </row>
    <row r="117" spans="1:4">
      <c r="A117" s="66" t="s">
        <v>50</v>
      </c>
      <c r="B117" t="s">
        <v>157</v>
      </c>
      <c r="D117" s="116">
        <v>0</v>
      </c>
    </row>
    <row r="118" spans="1:4">
      <c r="A118" s="66" t="s">
        <v>53</v>
      </c>
      <c r="B118" t="s">
        <v>221</v>
      </c>
      <c r="C118" s="66"/>
      <c r="D118" s="112">
        <f>H115</f>
        <v>1433.33</v>
      </c>
    </row>
    <row r="119" spans="1:4">
      <c r="A119" s="66" t="s">
        <v>58</v>
      </c>
      <c r="D119" s="117">
        <f>TRUNC(SUM(D114:D118),2)</f>
        <v>1557.63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2418.67</v>
      </c>
    </row>
    <row r="122" ht="16.5" spans="1:4">
      <c r="A122" s="77"/>
      <c r="B122" s="77"/>
      <c r="C122" s="80" t="s">
        <v>212</v>
      </c>
      <c r="D122" s="79">
        <f>D73</f>
        <v>2132.05</v>
      </c>
    </row>
    <row r="123" ht="16.5" spans="1:4">
      <c r="A123" s="77"/>
      <c r="B123" s="77"/>
      <c r="C123" s="78" t="s">
        <v>213</v>
      </c>
      <c r="D123" s="79">
        <f>D83</f>
        <v>146.14</v>
      </c>
    </row>
    <row r="124" ht="16.5" spans="1:4">
      <c r="A124" s="77"/>
      <c r="B124" s="77"/>
      <c r="C124" s="80" t="s">
        <v>223</v>
      </c>
      <c r="D124" s="79">
        <f>D110</f>
        <v>163.49</v>
      </c>
    </row>
    <row r="125" ht="16.5" spans="1:4">
      <c r="A125" s="77"/>
      <c r="B125" s="77"/>
      <c r="C125" s="78" t="s">
        <v>224</v>
      </c>
      <c r="D125" s="79">
        <f>D119</f>
        <v>1557.63</v>
      </c>
    </row>
    <row r="126" ht="16.5" spans="1:4">
      <c r="A126" s="77"/>
      <c r="B126" s="77"/>
      <c r="C126" s="80" t="s">
        <v>204</v>
      </c>
      <c r="D126" s="81">
        <f>TRUNC((SUM(D121:D125)),2)</f>
        <v>6417.98</v>
      </c>
    </row>
    <row r="127" ht="15.75"/>
    <row r="128" ht="15.75" spans="1:7">
      <c r="A128" s="49" t="s">
        <v>164</v>
      </c>
      <c r="B128" s="49"/>
      <c r="C128" s="49"/>
      <c r="D128" s="49"/>
      <c r="F128" s="104" t="s">
        <v>225</v>
      </c>
      <c r="G128" s="104"/>
    </row>
    <row r="129" ht="15.75" spans="1:7">
      <c r="A129" s="66" t="s">
        <v>165</v>
      </c>
      <c r="B129" t="s">
        <v>166</v>
      </c>
      <c r="C129" s="66" t="s">
        <v>38</v>
      </c>
      <c r="D129" s="66" t="s">
        <v>19</v>
      </c>
      <c r="F129" s="119" t="s">
        <v>226</v>
      </c>
      <c r="G129" s="120">
        <f>(C132*100)</f>
        <v>14.25</v>
      </c>
    </row>
    <row r="130" ht="15.75" spans="1:7">
      <c r="A130" s="66" t="s">
        <v>42</v>
      </c>
      <c r="B130" t="s">
        <v>167</v>
      </c>
      <c r="C130" s="89">
        <v>0.02</v>
      </c>
      <c r="D130" s="116">
        <f>TRUNC(($D$126*C130),2)</f>
        <v>128.35</v>
      </c>
      <c r="F130" s="121" t="s">
        <v>227</v>
      </c>
      <c r="G130" s="122">
        <f>TRUNC(SUM(D126,D130,D131),2)</f>
        <v>6677.25</v>
      </c>
    </row>
    <row r="131" ht="15.75" spans="1:7">
      <c r="A131" s="66" t="s">
        <v>45</v>
      </c>
      <c r="B131" t="s">
        <v>59</v>
      </c>
      <c r="C131" s="89">
        <v>0.02</v>
      </c>
      <c r="D131" s="116">
        <f>TRUNC((C131*(D126+D130)),2)</f>
        <v>130.92</v>
      </c>
      <c r="F131" s="119" t="s">
        <v>228</v>
      </c>
      <c r="G131" s="123">
        <f>((100-G129)/100)</f>
        <v>0.8575</v>
      </c>
    </row>
    <row r="132" ht="15.75" spans="1:7">
      <c r="A132" s="66" t="s">
        <v>48</v>
      </c>
      <c r="B132" t="s">
        <v>168</v>
      </c>
      <c r="C132" s="89">
        <f>SUM(C133:C135)</f>
        <v>0.1425</v>
      </c>
      <c r="D132" s="68">
        <f>TRUNC(SUM(D133:D135),2)</f>
        <v>1109.62</v>
      </c>
      <c r="F132" s="121" t="s">
        <v>225</v>
      </c>
      <c r="G132" s="122">
        <f>TRUNC((G130/G131),2)</f>
        <v>7786.88</v>
      </c>
    </row>
    <row r="133" ht="15.75" spans="1:4">
      <c r="A133" s="66"/>
      <c r="B133" t="s">
        <v>229</v>
      </c>
      <c r="C133" s="89">
        <v>0.0165</v>
      </c>
      <c r="D133" s="68">
        <f t="shared" ref="D133:D135" si="3">TRUNC(($G$132*C133),2)</f>
        <v>128.48</v>
      </c>
    </row>
    <row r="134" spans="1:4">
      <c r="A134" s="66"/>
      <c r="B134" t="s">
        <v>230</v>
      </c>
      <c r="C134" s="89">
        <v>0.076</v>
      </c>
      <c r="D134" s="68">
        <f t="shared" si="3"/>
        <v>591.8</v>
      </c>
    </row>
    <row r="135" spans="1:4">
      <c r="A135" s="66"/>
      <c r="B135" t="s">
        <v>231</v>
      </c>
      <c r="C135" s="89">
        <v>0.05</v>
      </c>
      <c r="D135" s="68">
        <f t="shared" si="3"/>
        <v>389.34</v>
      </c>
    </row>
    <row r="136" spans="1:4">
      <c r="A136" s="66" t="s">
        <v>58</v>
      </c>
      <c r="B136" s="124"/>
      <c r="C136" s="125"/>
      <c r="D136" s="73">
        <f>TRUNC(SUM(D130:D132),2)</f>
        <v>1368.89</v>
      </c>
    </row>
    <row r="137" spans="1:4">
      <c r="A137" s="66"/>
      <c r="C137" s="125"/>
      <c r="D137" s="73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3">
        <f>D31</f>
        <v>2418.67</v>
      </c>
    </row>
    <row r="142" spans="1:4">
      <c r="A142" s="66" t="s">
        <v>45</v>
      </c>
      <c r="B142" t="s">
        <v>61</v>
      </c>
      <c r="D142" s="73">
        <f>D73</f>
        <v>2132.05</v>
      </c>
    </row>
    <row r="143" spans="1:4">
      <c r="A143" s="66" t="s">
        <v>48</v>
      </c>
      <c r="B143" t="s">
        <v>108</v>
      </c>
      <c r="D143" s="73">
        <f>D83</f>
        <v>146.14</v>
      </c>
    </row>
    <row r="144" spans="1:4">
      <c r="A144" s="66" t="s">
        <v>50</v>
      </c>
      <c r="B144" t="s">
        <v>174</v>
      </c>
      <c r="D144" s="73">
        <f>D110</f>
        <v>163.49</v>
      </c>
    </row>
    <row r="145" spans="1:4">
      <c r="A145" s="66" t="s">
        <v>53</v>
      </c>
      <c r="B145" t="s">
        <v>152</v>
      </c>
      <c r="D145" s="73">
        <f>D119</f>
        <v>1557.63</v>
      </c>
    </row>
    <row r="146" spans="2:4">
      <c r="B146" s="126" t="s">
        <v>232</v>
      </c>
      <c r="D146" s="73">
        <f>TRUNC(SUM(D141:D145),2)</f>
        <v>6417.98</v>
      </c>
    </row>
    <row r="147" spans="1:4">
      <c r="A147" s="66" t="s">
        <v>55</v>
      </c>
      <c r="B147" t="s">
        <v>164</v>
      </c>
      <c r="D147" s="73">
        <f>D136</f>
        <v>1368.89</v>
      </c>
    </row>
    <row r="148" spans="1:4">
      <c r="A148" s="127"/>
      <c r="B148" s="128" t="s">
        <v>233</v>
      </c>
      <c r="C148" s="127"/>
      <c r="D148" s="129">
        <f>TRUNC((SUM(D141:D145)+D147),2)</f>
        <v>7786.87</v>
      </c>
    </row>
  </sheetData>
  <mergeCells count="37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F114:G114"/>
    <mergeCell ref="H114:I114"/>
    <mergeCell ref="F115:G115"/>
    <mergeCell ref="H115:I115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zoomScale="85" zoomScaleNormal="85" workbookViewId="0">
      <selection activeCell="V6" sqref="V6"/>
    </sheetView>
  </sheetViews>
  <sheetFormatPr defaultColWidth="9.14285714285714" defaultRowHeight="15" outlineLevelCol="7"/>
  <cols>
    <col min="2" max="2" width="15.7142857142857" style="26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7" t="s">
        <v>253</v>
      </c>
      <c r="B1" s="28"/>
      <c r="C1" s="27"/>
      <c r="D1" s="29"/>
      <c r="E1" s="27"/>
      <c r="F1" s="27"/>
      <c r="G1" s="27"/>
      <c r="H1" s="27"/>
    </row>
    <row r="2" spans="1:8">
      <c r="A2" s="15" t="s">
        <v>254</v>
      </c>
      <c r="B2" s="16"/>
      <c r="C2" s="15"/>
      <c r="D2" s="17"/>
      <c r="E2" s="15"/>
      <c r="F2" s="15"/>
      <c r="G2" s="15"/>
      <c r="H2" s="15"/>
    </row>
    <row r="3" ht="60" spans="1:8">
      <c r="A3" s="30" t="s">
        <v>255</v>
      </c>
      <c r="B3" s="30" t="s">
        <v>256</v>
      </c>
      <c r="C3" s="30" t="s">
        <v>257</v>
      </c>
      <c r="D3" s="30" t="s">
        <v>258</v>
      </c>
      <c r="E3" s="30" t="s">
        <v>259</v>
      </c>
      <c r="F3" s="30" t="s">
        <v>260</v>
      </c>
      <c r="G3" s="30" t="s">
        <v>261</v>
      </c>
      <c r="H3" s="30" t="s">
        <v>262</v>
      </c>
    </row>
    <row r="4" ht="75" spans="1:8">
      <c r="A4" s="31">
        <v>1</v>
      </c>
      <c r="B4" s="32" t="s">
        <v>263</v>
      </c>
      <c r="C4" s="33" t="s">
        <v>264</v>
      </c>
      <c r="D4" s="32" t="s">
        <v>265</v>
      </c>
      <c r="E4" s="34">
        <v>86.37</v>
      </c>
      <c r="F4" s="32">
        <v>4</v>
      </c>
      <c r="G4" s="35">
        <f>TRUNC(F4*E4,2)</f>
        <v>345.48</v>
      </c>
      <c r="H4" s="35">
        <f>TRUNC(G4/12,2)</f>
        <v>28.79</v>
      </c>
    </row>
    <row r="5" ht="105" spans="1:8">
      <c r="A5" s="31">
        <v>2</v>
      </c>
      <c r="B5" s="32" t="s">
        <v>266</v>
      </c>
      <c r="C5" s="33" t="s">
        <v>267</v>
      </c>
      <c r="D5" s="32" t="s">
        <v>265</v>
      </c>
      <c r="E5" s="34">
        <v>70.08</v>
      </c>
      <c r="F5" s="32">
        <v>4</v>
      </c>
      <c r="G5" s="35">
        <f>TRUNC(F5*E5,2)</f>
        <v>280.32</v>
      </c>
      <c r="H5" s="35">
        <f t="shared" ref="H5:H11" si="0">TRUNC(G5/12,2)</f>
        <v>23.36</v>
      </c>
    </row>
    <row r="6" ht="75" spans="1:8">
      <c r="A6" s="31">
        <v>3</v>
      </c>
      <c r="B6" s="32" t="s">
        <v>268</v>
      </c>
      <c r="C6" s="33" t="s">
        <v>269</v>
      </c>
      <c r="D6" s="32" t="s">
        <v>265</v>
      </c>
      <c r="E6" s="34">
        <v>126.48</v>
      </c>
      <c r="F6" s="32">
        <v>2</v>
      </c>
      <c r="G6" s="35">
        <f t="shared" ref="G6:G11" si="1">TRUNC(F6*E6,2)</f>
        <v>252.96</v>
      </c>
      <c r="H6" s="35">
        <f t="shared" si="0"/>
        <v>21.08</v>
      </c>
    </row>
    <row r="7" ht="105" spans="1:8">
      <c r="A7" s="31">
        <v>4</v>
      </c>
      <c r="B7" s="32" t="s">
        <v>270</v>
      </c>
      <c r="C7" s="33" t="s">
        <v>271</v>
      </c>
      <c r="D7" s="32" t="s">
        <v>265</v>
      </c>
      <c r="E7" s="34">
        <v>80.2</v>
      </c>
      <c r="F7" s="32">
        <v>4</v>
      </c>
      <c r="G7" s="35">
        <f t="shared" si="1"/>
        <v>320.8</v>
      </c>
      <c r="H7" s="35">
        <f t="shared" si="0"/>
        <v>26.73</v>
      </c>
    </row>
    <row r="8" ht="151" customHeight="1" spans="1:8">
      <c r="A8" s="31">
        <v>5</v>
      </c>
      <c r="B8" s="32" t="s">
        <v>270</v>
      </c>
      <c r="C8" s="33" t="s">
        <v>272</v>
      </c>
      <c r="D8" s="32" t="s">
        <v>265</v>
      </c>
      <c r="E8" s="34">
        <v>59.87</v>
      </c>
      <c r="F8" s="32">
        <v>4</v>
      </c>
      <c r="G8" s="35">
        <f t="shared" si="1"/>
        <v>239.48</v>
      </c>
      <c r="H8" s="35">
        <f t="shared" si="0"/>
        <v>19.95</v>
      </c>
    </row>
    <row r="9" ht="105" spans="1:8">
      <c r="A9" s="31">
        <v>6</v>
      </c>
      <c r="B9" s="32" t="s">
        <v>273</v>
      </c>
      <c r="C9" s="33" t="s">
        <v>274</v>
      </c>
      <c r="D9" s="32" t="s">
        <v>275</v>
      </c>
      <c r="E9" s="34">
        <v>97.63</v>
      </c>
      <c r="F9" s="32">
        <v>2</v>
      </c>
      <c r="G9" s="35">
        <f t="shared" si="1"/>
        <v>195.26</v>
      </c>
      <c r="H9" s="35">
        <f t="shared" si="0"/>
        <v>16.27</v>
      </c>
    </row>
    <row r="10" ht="75" spans="1:8">
      <c r="A10" s="31">
        <v>7</v>
      </c>
      <c r="B10" s="32" t="s">
        <v>276</v>
      </c>
      <c r="C10" s="33" t="s">
        <v>277</v>
      </c>
      <c r="D10" s="32" t="s">
        <v>275</v>
      </c>
      <c r="E10" s="34">
        <v>17.91</v>
      </c>
      <c r="F10" s="32">
        <v>4</v>
      </c>
      <c r="G10" s="35">
        <f t="shared" si="1"/>
        <v>71.64</v>
      </c>
      <c r="H10" s="35">
        <f t="shared" si="0"/>
        <v>5.97</v>
      </c>
    </row>
    <row r="11" ht="60" spans="1:8">
      <c r="A11" s="31">
        <v>8</v>
      </c>
      <c r="B11" s="32" t="s">
        <v>278</v>
      </c>
      <c r="C11" s="33" t="s">
        <v>279</v>
      </c>
      <c r="D11" s="32" t="s">
        <v>265</v>
      </c>
      <c r="E11" s="34">
        <v>11.96</v>
      </c>
      <c r="F11" s="32">
        <v>1</v>
      </c>
      <c r="G11" s="35">
        <f t="shared" si="1"/>
        <v>11.96</v>
      </c>
      <c r="H11" s="35">
        <f t="shared" si="0"/>
        <v>0.99</v>
      </c>
    </row>
    <row r="12" spans="1:8">
      <c r="A12" s="36" t="s">
        <v>204</v>
      </c>
      <c r="B12" s="36"/>
      <c r="C12" s="36"/>
      <c r="D12" s="36"/>
      <c r="E12" s="36"/>
      <c r="F12" s="36"/>
      <c r="G12" s="37">
        <f>TRUNC(SUM(H4:H11),2)</f>
        <v>143.14</v>
      </c>
      <c r="H12" s="37"/>
    </row>
    <row r="13" spans="1:8">
      <c r="A13" s="38"/>
      <c r="B13" s="39"/>
      <c r="C13" s="38"/>
      <c r="D13" s="40"/>
      <c r="E13" s="38"/>
      <c r="F13" s="38"/>
      <c r="G13" s="38"/>
      <c r="H13" s="38"/>
    </row>
    <row r="14" spans="1:8">
      <c r="A14" s="38"/>
      <c r="B14" s="39"/>
      <c r="C14" s="38"/>
      <c r="D14" s="40"/>
      <c r="E14" s="38"/>
      <c r="F14" s="38"/>
      <c r="G14" s="38"/>
      <c r="H14" s="38"/>
    </row>
    <row r="15" spans="1:8">
      <c r="A15" s="27" t="s">
        <v>253</v>
      </c>
      <c r="B15" s="28"/>
      <c r="C15" s="27"/>
      <c r="D15" s="29"/>
      <c r="E15" s="27"/>
      <c r="F15" s="27"/>
      <c r="G15" s="27"/>
      <c r="H15" s="27"/>
    </row>
    <row r="16" spans="1:8">
      <c r="A16" s="15" t="s">
        <v>280</v>
      </c>
      <c r="B16" s="16"/>
      <c r="C16" s="15"/>
      <c r="D16" s="17"/>
      <c r="E16" s="15"/>
      <c r="F16" s="15"/>
      <c r="G16" s="15"/>
      <c r="H16" s="15"/>
    </row>
    <row r="17" ht="60" spans="1:8">
      <c r="A17" s="30" t="s">
        <v>255</v>
      </c>
      <c r="B17" s="30" t="s">
        <v>256</v>
      </c>
      <c r="C17" s="30" t="s">
        <v>257</v>
      </c>
      <c r="D17" s="30" t="s">
        <v>258</v>
      </c>
      <c r="E17" s="30" t="s">
        <v>259</v>
      </c>
      <c r="F17" s="30" t="s">
        <v>260</v>
      </c>
      <c r="G17" s="30" t="s">
        <v>261</v>
      </c>
      <c r="H17" s="30" t="s">
        <v>262</v>
      </c>
    </row>
    <row r="18" ht="75" spans="1:8">
      <c r="A18" s="31">
        <v>1</v>
      </c>
      <c r="B18" s="32" t="s">
        <v>263</v>
      </c>
      <c r="C18" s="33" t="s">
        <v>264</v>
      </c>
      <c r="D18" s="32" t="s">
        <v>265</v>
      </c>
      <c r="E18" s="34">
        <v>86.37</v>
      </c>
      <c r="F18" s="32">
        <v>4</v>
      </c>
      <c r="G18" s="35">
        <f>TRUNC(F18*E18,2)</f>
        <v>345.48</v>
      </c>
      <c r="H18" s="35">
        <f>TRUNC(G18/12,2)</f>
        <v>28.79</v>
      </c>
    </row>
    <row r="19" ht="105" spans="1:8">
      <c r="A19" s="31">
        <v>2</v>
      </c>
      <c r="B19" s="32" t="s">
        <v>266</v>
      </c>
      <c r="C19" s="33" t="s">
        <v>267</v>
      </c>
      <c r="D19" s="32" t="s">
        <v>265</v>
      </c>
      <c r="E19" s="34">
        <v>70.08</v>
      </c>
      <c r="F19" s="32">
        <v>4</v>
      </c>
      <c r="G19" s="35">
        <f>TRUNC(F19*E19,2)</f>
        <v>280.32</v>
      </c>
      <c r="H19" s="35">
        <f>TRUNC(G19/12,2)</f>
        <v>23.36</v>
      </c>
    </row>
    <row r="20" ht="75" spans="1:8">
      <c r="A20" s="31">
        <v>3</v>
      </c>
      <c r="B20" s="32" t="s">
        <v>268</v>
      </c>
      <c r="C20" s="33" t="s">
        <v>269</v>
      </c>
      <c r="D20" s="32" t="s">
        <v>265</v>
      </c>
      <c r="E20" s="34">
        <v>126.48</v>
      </c>
      <c r="F20" s="32">
        <v>2</v>
      </c>
      <c r="G20" s="35">
        <f t="shared" ref="G20:G25" si="2">TRUNC(F20*E20,2)</f>
        <v>252.96</v>
      </c>
      <c r="H20" s="35">
        <f t="shared" ref="H20:H25" si="3">TRUNC(G20/12,2)</f>
        <v>21.08</v>
      </c>
    </row>
    <row r="21" ht="105" spans="1:8">
      <c r="A21" s="31">
        <v>4</v>
      </c>
      <c r="B21" s="32" t="s">
        <v>270</v>
      </c>
      <c r="C21" s="33" t="s">
        <v>271</v>
      </c>
      <c r="D21" s="32" t="s">
        <v>265</v>
      </c>
      <c r="E21" s="34">
        <v>80.2</v>
      </c>
      <c r="F21" s="32">
        <v>4</v>
      </c>
      <c r="G21" s="35">
        <f t="shared" si="2"/>
        <v>320.8</v>
      </c>
      <c r="H21" s="35">
        <f t="shared" si="3"/>
        <v>26.73</v>
      </c>
    </row>
    <row r="22" ht="165" spans="1:8">
      <c r="A22" s="31">
        <v>5</v>
      </c>
      <c r="B22" s="32" t="s">
        <v>270</v>
      </c>
      <c r="C22" s="33" t="s">
        <v>272</v>
      </c>
      <c r="D22" s="32" t="s">
        <v>265</v>
      </c>
      <c r="E22" s="34">
        <v>59.87</v>
      </c>
      <c r="F22" s="32">
        <v>4</v>
      </c>
      <c r="G22" s="35">
        <f t="shared" si="2"/>
        <v>239.48</v>
      </c>
      <c r="H22" s="35">
        <f t="shared" si="3"/>
        <v>19.95</v>
      </c>
    </row>
    <row r="23" ht="105" spans="1:8">
      <c r="A23" s="31">
        <v>6</v>
      </c>
      <c r="B23" s="32" t="s">
        <v>273</v>
      </c>
      <c r="C23" s="33" t="s">
        <v>274</v>
      </c>
      <c r="D23" s="32" t="s">
        <v>275</v>
      </c>
      <c r="E23" s="34">
        <v>97.63</v>
      </c>
      <c r="F23" s="32">
        <v>2</v>
      </c>
      <c r="G23" s="35">
        <f t="shared" si="2"/>
        <v>195.26</v>
      </c>
      <c r="H23" s="35">
        <f t="shared" si="3"/>
        <v>16.27</v>
      </c>
    </row>
    <row r="24" ht="75" spans="1:8">
      <c r="A24" s="31">
        <v>7</v>
      </c>
      <c r="B24" s="32" t="s">
        <v>276</v>
      </c>
      <c r="C24" s="33" t="s">
        <v>277</v>
      </c>
      <c r="D24" s="32" t="s">
        <v>275</v>
      </c>
      <c r="E24" s="34">
        <v>17.91</v>
      </c>
      <c r="F24" s="32">
        <v>4</v>
      </c>
      <c r="G24" s="35">
        <f t="shared" si="2"/>
        <v>71.64</v>
      </c>
      <c r="H24" s="35">
        <f t="shared" si="3"/>
        <v>5.97</v>
      </c>
    </row>
    <row r="25" ht="60" spans="1:8">
      <c r="A25" s="31">
        <v>8</v>
      </c>
      <c r="B25" s="32" t="s">
        <v>278</v>
      </c>
      <c r="C25" s="33" t="s">
        <v>279</v>
      </c>
      <c r="D25" s="32" t="s">
        <v>265</v>
      </c>
      <c r="E25" s="34">
        <v>11.96</v>
      </c>
      <c r="F25" s="32">
        <v>1</v>
      </c>
      <c r="G25" s="35">
        <f t="shared" si="2"/>
        <v>11.96</v>
      </c>
      <c r="H25" s="35">
        <f t="shared" si="3"/>
        <v>0.99</v>
      </c>
    </row>
    <row r="26" spans="1:8">
      <c r="A26" s="36" t="s">
        <v>204</v>
      </c>
      <c r="B26" s="36"/>
      <c r="C26" s="36"/>
      <c r="D26" s="36"/>
      <c r="E26" s="36"/>
      <c r="F26" s="36"/>
      <c r="G26" s="37">
        <f>TRUNC(SUM(H18:H25),2)</f>
        <v>143.14</v>
      </c>
      <c r="H26" s="37"/>
    </row>
    <row r="29" spans="1:8">
      <c r="A29" s="27" t="s">
        <v>253</v>
      </c>
      <c r="B29" s="28"/>
      <c r="C29" s="27"/>
      <c r="D29" s="29"/>
      <c r="E29" s="27"/>
      <c r="F29" s="27"/>
      <c r="G29" s="27"/>
      <c r="H29" s="27"/>
    </row>
    <row r="30" spans="1:8">
      <c r="A30" s="15" t="s">
        <v>281</v>
      </c>
      <c r="B30" s="16"/>
      <c r="C30" s="15"/>
      <c r="D30" s="17"/>
      <c r="E30" s="15"/>
      <c r="F30" s="15"/>
      <c r="G30" s="15"/>
      <c r="H30" s="15"/>
    </row>
    <row r="31" ht="60" spans="1:8">
      <c r="A31" s="30" t="s">
        <v>255</v>
      </c>
      <c r="B31" s="30" t="s">
        <v>256</v>
      </c>
      <c r="C31" s="30" t="s">
        <v>257</v>
      </c>
      <c r="D31" s="30" t="s">
        <v>258</v>
      </c>
      <c r="E31" s="30" t="s">
        <v>259</v>
      </c>
      <c r="F31" s="30" t="s">
        <v>260</v>
      </c>
      <c r="G31" s="30" t="s">
        <v>261</v>
      </c>
      <c r="H31" s="30" t="s">
        <v>262</v>
      </c>
    </row>
    <row r="32" ht="87" customHeight="1" spans="1:8">
      <c r="A32" s="31">
        <v>1</v>
      </c>
      <c r="B32" s="32" t="s">
        <v>263</v>
      </c>
      <c r="C32" s="33" t="s">
        <v>282</v>
      </c>
      <c r="D32" s="32" t="s">
        <v>265</v>
      </c>
      <c r="E32" s="34">
        <v>98.12</v>
      </c>
      <c r="F32" s="32">
        <v>4</v>
      </c>
      <c r="G32" s="35">
        <f t="shared" ref="G32:G40" si="4">TRUNC(F32*E32,2)</f>
        <v>392.48</v>
      </c>
      <c r="H32" s="35">
        <f t="shared" ref="H32:H40" si="5">TRUNC(G32/12,2)</f>
        <v>32.7</v>
      </c>
    </row>
    <row r="33" ht="105" spans="1:8">
      <c r="A33" s="31">
        <v>2</v>
      </c>
      <c r="B33" s="32" t="s">
        <v>270</v>
      </c>
      <c r="C33" s="33" t="s">
        <v>283</v>
      </c>
      <c r="D33" s="32" t="s">
        <v>265</v>
      </c>
      <c r="E33" s="34">
        <v>85.64</v>
      </c>
      <c r="F33" s="32">
        <v>4</v>
      </c>
      <c r="G33" s="35">
        <f t="shared" si="4"/>
        <v>342.56</v>
      </c>
      <c r="H33" s="35">
        <f t="shared" si="5"/>
        <v>28.54</v>
      </c>
    </row>
    <row r="34" ht="165" spans="1:8">
      <c r="A34" s="31">
        <v>3</v>
      </c>
      <c r="B34" s="32" t="s">
        <v>270</v>
      </c>
      <c r="C34" s="33" t="s">
        <v>284</v>
      </c>
      <c r="D34" s="32" t="s">
        <v>265</v>
      </c>
      <c r="E34" s="34">
        <v>60.22</v>
      </c>
      <c r="F34" s="32">
        <v>4</v>
      </c>
      <c r="G34" s="35">
        <f t="shared" si="4"/>
        <v>240.88</v>
      </c>
      <c r="H34" s="35">
        <f t="shared" si="5"/>
        <v>20.07</v>
      </c>
    </row>
    <row r="35" ht="105" spans="1:8">
      <c r="A35" s="31">
        <v>4</v>
      </c>
      <c r="B35" s="32" t="s">
        <v>285</v>
      </c>
      <c r="C35" s="33" t="s">
        <v>286</v>
      </c>
      <c r="D35" s="32" t="s">
        <v>265</v>
      </c>
      <c r="E35" s="34">
        <v>99.74</v>
      </c>
      <c r="F35" s="32">
        <v>2</v>
      </c>
      <c r="G35" s="35">
        <f t="shared" si="4"/>
        <v>199.48</v>
      </c>
      <c r="H35" s="35">
        <f t="shared" si="5"/>
        <v>16.62</v>
      </c>
    </row>
    <row r="36" ht="105" spans="1:8">
      <c r="A36" s="31">
        <v>5</v>
      </c>
      <c r="B36" s="32" t="s">
        <v>273</v>
      </c>
      <c r="C36" s="33" t="s">
        <v>274</v>
      </c>
      <c r="D36" s="32" t="s">
        <v>275</v>
      </c>
      <c r="E36" s="34">
        <v>97.63</v>
      </c>
      <c r="F36" s="32">
        <v>2</v>
      </c>
      <c r="G36" s="35">
        <f t="shared" si="4"/>
        <v>195.26</v>
      </c>
      <c r="H36" s="35">
        <f t="shared" si="5"/>
        <v>16.27</v>
      </c>
    </row>
    <row r="37" ht="75" spans="1:8">
      <c r="A37" s="31">
        <v>6</v>
      </c>
      <c r="B37" s="32" t="s">
        <v>287</v>
      </c>
      <c r="C37" s="33" t="s">
        <v>288</v>
      </c>
      <c r="D37" s="32" t="s">
        <v>265</v>
      </c>
      <c r="E37" s="34">
        <v>25</v>
      </c>
      <c r="F37" s="32">
        <v>2</v>
      </c>
      <c r="G37" s="35">
        <f t="shared" si="4"/>
        <v>50</v>
      </c>
      <c r="H37" s="35">
        <f t="shared" si="5"/>
        <v>4.16</v>
      </c>
    </row>
    <row r="38" ht="60" spans="1:8">
      <c r="A38" s="31">
        <v>7</v>
      </c>
      <c r="B38" s="32" t="s">
        <v>276</v>
      </c>
      <c r="C38" s="33" t="s">
        <v>289</v>
      </c>
      <c r="D38" s="32" t="s">
        <v>275</v>
      </c>
      <c r="E38" s="34">
        <v>14.86</v>
      </c>
      <c r="F38" s="32">
        <v>4</v>
      </c>
      <c r="G38" s="35">
        <f t="shared" si="4"/>
        <v>59.44</v>
      </c>
      <c r="H38" s="35">
        <f t="shared" si="5"/>
        <v>4.95</v>
      </c>
    </row>
    <row r="39" ht="75" spans="1:8">
      <c r="A39" s="31">
        <v>8</v>
      </c>
      <c r="B39" s="32" t="s">
        <v>290</v>
      </c>
      <c r="C39" s="41" t="s">
        <v>291</v>
      </c>
      <c r="D39" s="32" t="s">
        <v>265</v>
      </c>
      <c r="E39" s="34">
        <v>114.01</v>
      </c>
      <c r="F39" s="32">
        <v>2</v>
      </c>
      <c r="G39" s="35">
        <f t="shared" si="4"/>
        <v>228.02</v>
      </c>
      <c r="H39" s="35">
        <f t="shared" si="5"/>
        <v>19</v>
      </c>
    </row>
    <row r="40" ht="60" spans="1:8">
      <c r="A40" s="31">
        <v>9</v>
      </c>
      <c r="B40" s="32" t="s">
        <v>278</v>
      </c>
      <c r="C40" s="33" t="s">
        <v>279</v>
      </c>
      <c r="D40" s="32" t="s">
        <v>265</v>
      </c>
      <c r="E40" s="34">
        <v>11.96</v>
      </c>
      <c r="F40" s="32">
        <v>1</v>
      </c>
      <c r="G40" s="35">
        <f t="shared" si="4"/>
        <v>11.96</v>
      </c>
      <c r="H40" s="35">
        <f t="shared" si="5"/>
        <v>0.99</v>
      </c>
    </row>
    <row r="41" spans="1:8">
      <c r="A41" s="36" t="s">
        <v>204</v>
      </c>
      <c r="B41" s="36"/>
      <c r="C41" s="36"/>
      <c r="D41" s="36"/>
      <c r="E41" s="36"/>
      <c r="F41" s="36"/>
      <c r="G41" s="37">
        <f>TRUNC(SUM(H32:H40),2)</f>
        <v>143.3</v>
      </c>
      <c r="H41" s="37"/>
    </row>
    <row r="44" spans="1:8">
      <c r="A44" s="27" t="s">
        <v>253</v>
      </c>
      <c r="B44" s="28"/>
      <c r="C44" s="27"/>
      <c r="D44" s="29"/>
      <c r="E44" s="27"/>
      <c r="F44" s="27"/>
      <c r="G44" s="27"/>
      <c r="H44" s="27"/>
    </row>
    <row r="45" spans="1:8">
      <c r="A45" s="15" t="s">
        <v>292</v>
      </c>
      <c r="B45" s="16"/>
      <c r="C45" s="15"/>
      <c r="D45" s="17"/>
      <c r="E45" s="15"/>
      <c r="F45" s="15"/>
      <c r="G45" s="15"/>
      <c r="H45" s="15"/>
    </row>
    <row r="46" ht="60" spans="1:8">
      <c r="A46" s="30" t="s">
        <v>255</v>
      </c>
      <c r="B46" s="30" t="s">
        <v>256</v>
      </c>
      <c r="C46" s="30" t="s">
        <v>257</v>
      </c>
      <c r="D46" s="30" t="s">
        <v>258</v>
      </c>
      <c r="E46" s="30" t="s">
        <v>259</v>
      </c>
      <c r="F46" s="30" t="s">
        <v>260</v>
      </c>
      <c r="G46" s="30" t="s">
        <v>261</v>
      </c>
      <c r="H46" s="30" t="s">
        <v>262</v>
      </c>
    </row>
    <row r="47" ht="86" customHeight="1" spans="1:8">
      <c r="A47" s="31">
        <v>1</v>
      </c>
      <c r="B47" s="32" t="s">
        <v>263</v>
      </c>
      <c r="C47" s="33" t="s">
        <v>282</v>
      </c>
      <c r="D47" s="32" t="s">
        <v>265</v>
      </c>
      <c r="E47" s="34">
        <v>98.12</v>
      </c>
      <c r="F47" s="32">
        <v>4</v>
      </c>
      <c r="G47" s="35">
        <f t="shared" ref="G47:G55" si="6">TRUNC(F47*E47,2)</f>
        <v>392.48</v>
      </c>
      <c r="H47" s="35">
        <f t="shared" ref="H47:H55" si="7">TRUNC(G47/12,2)</f>
        <v>32.7</v>
      </c>
    </row>
    <row r="48" ht="105" spans="1:8">
      <c r="A48" s="31">
        <v>2</v>
      </c>
      <c r="B48" s="32" t="s">
        <v>270</v>
      </c>
      <c r="C48" s="33" t="s">
        <v>283</v>
      </c>
      <c r="D48" s="32" t="s">
        <v>265</v>
      </c>
      <c r="E48" s="34">
        <v>85.64</v>
      </c>
      <c r="F48" s="32">
        <v>4</v>
      </c>
      <c r="G48" s="35">
        <f t="shared" si="6"/>
        <v>342.56</v>
      </c>
      <c r="H48" s="35">
        <f t="shared" si="7"/>
        <v>28.54</v>
      </c>
    </row>
    <row r="49" ht="165" spans="1:8">
      <c r="A49" s="31">
        <v>3</v>
      </c>
      <c r="B49" s="32" t="s">
        <v>270</v>
      </c>
      <c r="C49" s="33" t="s">
        <v>284</v>
      </c>
      <c r="D49" s="32" t="s">
        <v>265</v>
      </c>
      <c r="E49" s="34">
        <v>60.22</v>
      </c>
      <c r="F49" s="32">
        <v>4</v>
      </c>
      <c r="G49" s="35">
        <f t="shared" si="6"/>
        <v>240.88</v>
      </c>
      <c r="H49" s="35">
        <f t="shared" si="7"/>
        <v>20.07</v>
      </c>
    </row>
    <row r="50" ht="105" spans="1:8">
      <c r="A50" s="31">
        <v>4</v>
      </c>
      <c r="B50" s="32" t="s">
        <v>285</v>
      </c>
      <c r="C50" s="33" t="s">
        <v>286</v>
      </c>
      <c r="D50" s="32" t="s">
        <v>265</v>
      </c>
      <c r="E50" s="34">
        <v>99.74</v>
      </c>
      <c r="F50" s="32">
        <v>2</v>
      </c>
      <c r="G50" s="35">
        <f t="shared" si="6"/>
        <v>199.48</v>
      </c>
      <c r="H50" s="35">
        <f t="shared" si="7"/>
        <v>16.62</v>
      </c>
    </row>
    <row r="51" ht="105" spans="1:8">
      <c r="A51" s="31">
        <v>5</v>
      </c>
      <c r="B51" s="32" t="s">
        <v>273</v>
      </c>
      <c r="C51" s="33" t="s">
        <v>274</v>
      </c>
      <c r="D51" s="32" t="s">
        <v>275</v>
      </c>
      <c r="E51" s="34">
        <v>97.63</v>
      </c>
      <c r="F51" s="32">
        <v>2</v>
      </c>
      <c r="G51" s="35">
        <f t="shared" si="6"/>
        <v>195.26</v>
      </c>
      <c r="H51" s="35">
        <f t="shared" si="7"/>
        <v>16.27</v>
      </c>
    </row>
    <row r="52" ht="75" spans="1:8">
      <c r="A52" s="31">
        <v>6</v>
      </c>
      <c r="B52" s="32" t="s">
        <v>287</v>
      </c>
      <c r="C52" s="33" t="s">
        <v>288</v>
      </c>
      <c r="D52" s="32" t="s">
        <v>265</v>
      </c>
      <c r="E52" s="34">
        <v>25</v>
      </c>
      <c r="F52" s="32">
        <v>2</v>
      </c>
      <c r="G52" s="35">
        <f t="shared" si="6"/>
        <v>50</v>
      </c>
      <c r="H52" s="35">
        <f t="shared" si="7"/>
        <v>4.16</v>
      </c>
    </row>
    <row r="53" ht="60" spans="1:8">
      <c r="A53" s="31">
        <v>7</v>
      </c>
      <c r="B53" s="32" t="s">
        <v>276</v>
      </c>
      <c r="C53" s="33" t="s">
        <v>289</v>
      </c>
      <c r="D53" s="32" t="s">
        <v>275</v>
      </c>
      <c r="E53" s="34">
        <v>14.86</v>
      </c>
      <c r="F53" s="32">
        <v>4</v>
      </c>
      <c r="G53" s="35">
        <f t="shared" si="6"/>
        <v>59.44</v>
      </c>
      <c r="H53" s="35">
        <f t="shared" si="7"/>
        <v>4.95</v>
      </c>
    </row>
    <row r="54" ht="60" spans="1:8">
      <c r="A54" s="31">
        <v>8</v>
      </c>
      <c r="B54" s="32" t="s">
        <v>278</v>
      </c>
      <c r="C54" s="33" t="s">
        <v>279</v>
      </c>
      <c r="D54" s="32" t="s">
        <v>265</v>
      </c>
      <c r="E54" s="34">
        <v>11.96</v>
      </c>
      <c r="F54" s="32">
        <v>1</v>
      </c>
      <c r="G54" s="35">
        <f t="shared" si="6"/>
        <v>11.96</v>
      </c>
      <c r="H54" s="35">
        <f t="shared" si="7"/>
        <v>0.99</v>
      </c>
    </row>
    <row r="55" spans="1:8">
      <c r="A55" s="36" t="s">
        <v>204</v>
      </c>
      <c r="B55" s="36"/>
      <c r="C55" s="36"/>
      <c r="D55" s="36"/>
      <c r="E55" s="36"/>
      <c r="F55" s="36"/>
      <c r="G55" s="37">
        <f>TRUNC(SUM(H47:H54),2)</f>
        <v>124.3</v>
      </c>
      <c r="H55" s="37"/>
    </row>
  </sheetData>
  <mergeCells count="16">
    <mergeCell ref="A1:H1"/>
    <mergeCell ref="A2:H2"/>
    <mergeCell ref="A12:F12"/>
    <mergeCell ref="G12:H12"/>
    <mergeCell ref="A15:H15"/>
    <mergeCell ref="A16:H16"/>
    <mergeCell ref="A26:F26"/>
    <mergeCell ref="G26:H26"/>
    <mergeCell ref="A29:H29"/>
    <mergeCell ref="A30:H30"/>
    <mergeCell ref="A41:F41"/>
    <mergeCell ref="G41:H41"/>
    <mergeCell ref="A44:H44"/>
    <mergeCell ref="A45:H45"/>
    <mergeCell ref="A55:F55"/>
    <mergeCell ref="G55:H55"/>
  </mergeCells>
  <pageMargins left="0.75" right="0.75" top="1" bottom="1" header="0.5" footer="0.5"/>
  <pageSetup paperSize="9" scale="95" orientation="landscape"/>
  <headerFooter/>
  <tableParts count="4">
    <tablePart r:id="rId1"/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N7" sqref="N7"/>
    </sheetView>
  </sheetViews>
  <sheetFormatPr defaultColWidth="8.88571428571429" defaultRowHeight="15" outlineLevelRow="6" outlineLevelCol="6"/>
  <cols>
    <col min="2" max="2" width="20.6666666666667" customWidth="1"/>
    <col min="3" max="3" width="31.6666666666667" customWidth="1"/>
    <col min="4" max="4" width="14.552380952381" customWidth="1"/>
    <col min="5" max="5" width="14.3333333333333" customWidth="1"/>
    <col min="6" max="6" width="16.3333333333333" customWidth="1"/>
    <col min="7" max="7" width="16.1142857142857" customWidth="1"/>
  </cols>
  <sheetData>
    <row r="1" spans="1:7">
      <c r="A1" s="12" t="s">
        <v>293</v>
      </c>
      <c r="B1" s="13"/>
      <c r="C1" s="12" t="s">
        <v>156</v>
      </c>
      <c r="D1" s="14"/>
      <c r="E1" s="12"/>
      <c r="F1" s="12"/>
      <c r="G1" s="12"/>
    </row>
    <row r="2" spans="1:7">
      <c r="A2" s="15"/>
      <c r="B2" s="16"/>
      <c r="C2" s="15"/>
      <c r="D2" s="17"/>
      <c r="E2" s="15"/>
      <c r="F2" s="15"/>
      <c r="G2" s="15"/>
    </row>
    <row r="3" ht="60" spans="1:7">
      <c r="A3" s="5" t="s">
        <v>16</v>
      </c>
      <c r="B3" s="5" t="s">
        <v>294</v>
      </c>
      <c r="C3" s="5" t="s">
        <v>17</v>
      </c>
      <c r="D3" s="5" t="s">
        <v>295</v>
      </c>
      <c r="E3" s="5" t="s">
        <v>260</v>
      </c>
      <c r="F3" s="5" t="s">
        <v>261</v>
      </c>
      <c r="G3" s="5" t="s">
        <v>262</v>
      </c>
    </row>
    <row r="4" ht="120" spans="1:7">
      <c r="A4" s="18">
        <v>1</v>
      </c>
      <c r="B4" s="18" t="s">
        <v>296</v>
      </c>
      <c r="C4" s="19" t="s">
        <v>297</v>
      </c>
      <c r="D4" s="20">
        <v>12.95</v>
      </c>
      <c r="E4" s="21">
        <v>2</v>
      </c>
      <c r="F4" s="22">
        <f>Table43_2[[#This Row],[QUANTIDADE ANUAL]]*Table43_2[[#This Row],[VALOR 
MÉDIO
UNITÁRIO
(R$)]]/2</f>
        <v>12.95</v>
      </c>
      <c r="G4" s="22">
        <f>Table43_2[[#This Row],[VALOR ANUAL POR EMPREGADO (R$)]]/12</f>
        <v>1.07916666666667</v>
      </c>
    </row>
    <row r="5" ht="90" spans="1:7">
      <c r="A5" s="18">
        <v>2</v>
      </c>
      <c r="B5" s="18" t="s">
        <v>298</v>
      </c>
      <c r="C5" s="19" t="s">
        <v>299</v>
      </c>
      <c r="D5" s="20">
        <v>2.88</v>
      </c>
      <c r="E5" s="21">
        <v>4</v>
      </c>
      <c r="F5" s="22">
        <f>Table43_2[[#This Row],[QUANTIDADE ANUAL]]*Table43_2[[#This Row],[VALOR 
MÉDIO
UNITÁRIO
(R$)]]/2</f>
        <v>5.76</v>
      </c>
      <c r="G5" s="22">
        <f>Table43_2[[#This Row],[VALOR ANUAL POR EMPREGADO (R$)]]/12</f>
        <v>0.48</v>
      </c>
    </row>
    <row r="6" ht="75" spans="1:7">
      <c r="A6" s="18">
        <v>3</v>
      </c>
      <c r="B6" s="23" t="s">
        <v>300</v>
      </c>
      <c r="C6" s="19" t="s">
        <v>301</v>
      </c>
      <c r="D6" s="20">
        <v>13.6</v>
      </c>
      <c r="E6" s="21">
        <v>1</v>
      </c>
      <c r="F6" s="22">
        <f>Table43_2[[#This Row],[QUANTIDADE ANUAL]]*Table43_2[[#This Row],[VALOR 
MÉDIO
UNITÁRIO
(R$)]]/2</f>
        <v>6.8</v>
      </c>
      <c r="G6" s="22">
        <f>Table43_2[[#This Row],[VALOR ANUAL POR EMPREGADO (R$)]]/12</f>
        <v>0.566666666666667</v>
      </c>
    </row>
    <row r="7" spans="1:7">
      <c r="A7" s="24" t="s">
        <v>204</v>
      </c>
      <c r="B7" s="24"/>
      <c r="C7" s="24"/>
      <c r="D7" s="24"/>
      <c r="E7" s="24"/>
      <c r="F7" s="24"/>
      <c r="G7" s="25">
        <f>SUBTOTAL(109,Table43_2[VALOR MENSAL POR EMPREGADO (R$)])</f>
        <v>2.12583333333333</v>
      </c>
    </row>
  </sheetData>
  <mergeCells count="2">
    <mergeCell ref="A1:G1"/>
    <mergeCell ref="A2:G2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O3" sqref="O3"/>
    </sheetView>
  </sheetViews>
  <sheetFormatPr defaultColWidth="8.88571428571429" defaultRowHeight="15" outlineLevelCol="6"/>
  <cols>
    <col min="1" max="1" width="8.88571428571429" style="1"/>
    <col min="2" max="2" width="36.2857142857143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302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265</v>
      </c>
      <c r="D2" s="5" t="s">
        <v>303</v>
      </c>
      <c r="E2" s="5" t="s">
        <v>304</v>
      </c>
      <c r="F2" s="5" t="s">
        <v>305</v>
      </c>
      <c r="G2" s="5" t="s">
        <v>306</v>
      </c>
    </row>
    <row r="3" ht="75" spans="1:7">
      <c r="A3" s="6">
        <v>4</v>
      </c>
      <c r="B3" s="7" t="s">
        <v>307</v>
      </c>
      <c r="C3" s="5" t="s">
        <v>308</v>
      </c>
      <c r="D3" s="6">
        <v>2</v>
      </c>
      <c r="E3" s="6">
        <v>12</v>
      </c>
      <c r="F3" s="8">
        <f>'Recepcionista Secretário(a)'!D148</f>
        <v>4009.85</v>
      </c>
      <c r="G3" s="8">
        <f>(D3*F3)*(E3)</f>
        <v>96236.4</v>
      </c>
    </row>
    <row r="4" ht="75" spans="1:7">
      <c r="A4" s="5">
        <v>5</v>
      </c>
      <c r="B4" s="7" t="s">
        <v>309</v>
      </c>
      <c r="C4" s="5" t="s">
        <v>308</v>
      </c>
      <c r="D4" s="6">
        <v>1</v>
      </c>
      <c r="E4" s="6">
        <v>12</v>
      </c>
      <c r="F4" s="8">
        <f>'Copeiro (a)'!D148</f>
        <v>3889.12</v>
      </c>
      <c r="G4" s="8">
        <f>(D4*F4)*(E4)</f>
        <v>46669.44</v>
      </c>
    </row>
    <row r="5" ht="105" spans="1:7">
      <c r="A5" s="6">
        <v>6</v>
      </c>
      <c r="B5" s="7" t="s">
        <v>310</v>
      </c>
      <c r="C5" s="5" t="s">
        <v>308</v>
      </c>
      <c r="D5" s="6">
        <v>1</v>
      </c>
      <c r="E5" s="6">
        <v>12</v>
      </c>
      <c r="F5" s="8">
        <f>Portaria!D149</f>
        <v>8221.48</v>
      </c>
      <c r="G5" s="8">
        <f>(D5*F5)*(E5)</f>
        <v>98657.76</v>
      </c>
    </row>
    <row r="6" ht="75" spans="1:7">
      <c r="A6" s="6">
        <v>7</v>
      </c>
      <c r="B6" s="7" t="s">
        <v>311</v>
      </c>
      <c r="C6" s="5" t="s">
        <v>308</v>
      </c>
      <c r="D6" s="6">
        <v>1</v>
      </c>
      <c r="E6" s="6">
        <v>12</v>
      </c>
      <c r="F6" s="8">
        <f>Motorista!D148</f>
        <v>7786.87</v>
      </c>
      <c r="G6" s="8">
        <f>(D6*F6)*(E6)</f>
        <v>93442.44</v>
      </c>
    </row>
    <row r="7" spans="1:7">
      <c r="A7" s="6" t="s">
        <v>204</v>
      </c>
      <c r="B7" s="9"/>
      <c r="C7" s="9"/>
      <c r="D7" s="9"/>
      <c r="E7" s="9"/>
      <c r="F7" s="9"/>
      <c r="G7" s="10">
        <f>SUM(G3:G6)</f>
        <v>335006.04</v>
      </c>
    </row>
    <row r="8" spans="1:7">
      <c r="A8" s="6"/>
      <c r="B8" s="11"/>
      <c r="C8" s="11"/>
      <c r="D8" s="11"/>
      <c r="E8" s="11"/>
      <c r="F8" s="11"/>
      <c r="G8" s="11"/>
    </row>
    <row r="9" spans="1:7">
      <c r="A9" s="6"/>
      <c r="B9" s="9"/>
      <c r="C9" s="9"/>
      <c r="D9" s="9"/>
      <c r="E9" s="9"/>
      <c r="F9" s="9"/>
      <c r="G9" s="9"/>
    </row>
    <row r="10" spans="1:7">
      <c r="A10" s="6"/>
      <c r="B10" s="9"/>
      <c r="C10" s="9"/>
      <c r="D10" s="9"/>
      <c r="E10" s="9"/>
      <c r="F10" s="9"/>
      <c r="G10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11" master="" otherUserPermission="visible"/>
  <rangeList sheetStid="5" master="" otherUserPermission="visible"/>
  <rangeList sheetStid="6" master="" otherUserPermission="visible"/>
  <rangeList sheetStid="15" master="" otherUserPermission="visible"/>
  <rangeList sheetStid="12" master="" otherUserPermission="visible"/>
  <rangeList sheetStid="14" master="" otherUserPermission="visible"/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Orientações</vt:lpstr>
      <vt:lpstr>Servente</vt:lpstr>
      <vt:lpstr>Recepcionista Secretário(a)</vt:lpstr>
      <vt:lpstr>Copeiro (a)</vt:lpstr>
      <vt:lpstr>Portaria</vt:lpstr>
      <vt:lpstr>Motorista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2036557</cp:lastModifiedBy>
  <cp:revision>3</cp:revision>
  <dcterms:created xsi:type="dcterms:W3CDTF">2019-02-19T21:25:00Z</dcterms:created>
  <cp:lastPrinted>2020-02-20T19:26:00Z</cp:lastPrinted>
  <dcterms:modified xsi:type="dcterms:W3CDTF">2024-11-19T11:50:07Z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1046-12.2.0.18638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